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codeName="ThisWorkbook"/>
  <mc:AlternateContent xmlns:mc="http://schemas.openxmlformats.org/markup-compatibility/2006">
    <mc:Choice Requires="x15">
      <x15ac:absPath xmlns:x15ac="http://schemas.microsoft.com/office/spreadsheetml/2010/11/ac" url="C:\Users\JoseParedes\Desktop\BPR2023\05 Announcement\"/>
    </mc:Choice>
  </mc:AlternateContent>
  <xr:revisionPtr revIDLastSave="0" documentId="13_ncr:1_{21096E38-98A5-4DE1-83FB-522D42251D0F}" xr6:coauthVersionLast="47" xr6:coauthVersionMax="47" xr10:uidLastSave="{00000000-0000-0000-0000-000000000000}"/>
  <workbookProtection workbookAlgorithmName="SHA-512" workbookHashValue="+NVJufPCD2rFR5aeiUfaeaH/9SXSBJs16CiMaI1z+fGZYBk4CaxgVc9Wb5EdyEvub4hBMANfx3SfnDm9Egy3gQ==" workbookSaltValue="ZfJYLLpng6lsBPR0vsE7vg==" workbookSpinCount="100000" lockStructure="1"/>
  <bookViews>
    <workbookView xWindow="1008" yWindow="-108" windowWidth="22140" windowHeight="13176" tabRatio="846" xr2:uid="{00000000-000D-0000-FFFF-FFFF00000000}"/>
  </bookViews>
  <sheets>
    <sheet name="prorata" sheetId="28" r:id="rId1"/>
    <sheet name="Sheet1" sheetId="29"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Q4" i="28" l="1"/>
  <c r="CP4" i="28"/>
  <c r="CO4" i="28"/>
  <c r="CR4" i="28"/>
  <c r="CR32" i="28"/>
  <c r="CQ32" i="28"/>
  <c r="CP32" i="28"/>
  <c r="CO32" i="28"/>
  <c r="BD5" i="28"/>
  <c r="BE5" i="28"/>
  <c r="BF5" i="28"/>
  <c r="BG5" i="28"/>
  <c r="CQ81" i="28"/>
  <c r="CP81" i="28"/>
  <c r="CO81" i="28"/>
  <c r="CR81" i="28"/>
  <c r="BZ9" i="28"/>
  <c r="CB9" i="28"/>
  <c r="CQ55" i="28" s="1"/>
  <c r="CR65" i="28" s="1"/>
  <c r="CB8" i="28"/>
  <c r="CH6" i="28"/>
  <c r="CG6" i="28"/>
  <c r="CF6" i="28"/>
  <c r="CE6" i="28"/>
  <c r="CA11" i="28"/>
  <c r="CA8" i="28"/>
  <c r="BZ12" i="28"/>
  <c r="BZ11" i="28"/>
  <c r="BZ8" i="28"/>
  <c r="BZ5" i="28"/>
  <c r="BX11" i="28"/>
  <c r="BX10" i="28"/>
  <c r="BX8" i="28"/>
  <c r="BX7" i="28"/>
  <c r="BX6" i="28"/>
  <c r="BW13" i="28"/>
  <c r="BW12" i="28"/>
  <c r="BW11" i="28"/>
  <c r="BW10" i="28"/>
  <c r="BW9" i="28"/>
  <c r="BW8" i="28"/>
  <c r="BW7" i="28"/>
  <c r="BW5" i="28"/>
  <c r="BQ11" i="28"/>
  <c r="BQ10" i="28"/>
  <c r="BQ8" i="28"/>
  <c r="BQ7" i="28"/>
  <c r="BQ6" i="28"/>
  <c r="BP13" i="28"/>
  <c r="CD81" i="28" s="1"/>
  <c r="BP12" i="28"/>
  <c r="CD80" i="28" s="1"/>
  <c r="BP11" i="28"/>
  <c r="BP10" i="28"/>
  <c r="BP9" i="28"/>
  <c r="BP8" i="28"/>
  <c r="BP7" i="28"/>
  <c r="BP5" i="28"/>
  <c r="BM13" i="28"/>
  <c r="BM12" i="28"/>
  <c r="BM11" i="28"/>
  <c r="BM10" i="28"/>
  <c r="BM9" i="28"/>
  <c r="BM8" i="28"/>
  <c r="BM7" i="28"/>
  <c r="BM6" i="28"/>
  <c r="BM5" i="28"/>
  <c r="CW64" i="28" l="1"/>
  <c r="CP51" i="28" l="1"/>
  <c r="CO63" i="28" s="1"/>
  <c r="AO10" i="28"/>
  <c r="BQ14" i="28"/>
  <c r="BN15" i="28"/>
  <c r="BH22" i="28"/>
  <c r="BH21" i="28"/>
  <c r="BH23" i="28"/>
  <c r="BH24" i="28"/>
  <c r="BJ21" i="28"/>
  <c r="CA114" i="28" s="1"/>
  <c r="CR14" i="28" l="1"/>
  <c r="CQ14" i="28"/>
  <c r="CP14" i="28"/>
  <c r="CO14" i="28"/>
  <c r="BL10" i="28" l="1"/>
  <c r="BL9" i="28"/>
  <c r="CO56" i="28" l="1"/>
  <c r="BS10" i="28"/>
  <c r="BS9" i="28"/>
  <c r="CO55" i="28"/>
  <c r="AZ17" i="28"/>
  <c r="AZ18" i="28"/>
  <c r="AP22" i="28" s="1"/>
  <c r="AP24" i="28" s="1"/>
  <c r="AP26" i="28" s="1"/>
  <c r="AZ19" i="28"/>
  <c r="AZ20" i="28"/>
  <c r="AP28" i="28" s="1"/>
  <c r="AP30" i="28" s="1"/>
  <c r="AP32" i="28" s="1"/>
  <c r="AZ21" i="28"/>
  <c r="AZ22" i="28"/>
  <c r="AP34" i="28" s="1"/>
  <c r="AP36" i="28" s="1"/>
  <c r="AZ23" i="28"/>
  <c r="AS23" i="28" s="1"/>
  <c r="AS32" i="28" s="1"/>
  <c r="AZ24" i="28"/>
  <c r="AS24" i="28" s="1"/>
  <c r="AS33" i="28" s="1"/>
  <c r="AZ25" i="28"/>
  <c r="AZ26" i="28"/>
  <c r="AS26" i="28" s="1"/>
  <c r="AS35" i="28" s="1"/>
  <c r="AZ27" i="28"/>
  <c r="AS27" i="28" s="1"/>
  <c r="AS36" i="28" s="1"/>
  <c r="AZ28" i="28"/>
  <c r="AS28" i="28" s="1"/>
  <c r="AS37" i="28" s="1"/>
  <c r="AZ29" i="28"/>
  <c r="AZ30" i="28"/>
  <c r="AS30" i="28" s="1"/>
  <c r="AZ31" i="28"/>
  <c r="AS31" i="28" s="1"/>
  <c r="AZ32" i="28"/>
  <c r="AZ33" i="28"/>
  <c r="AZ34" i="28"/>
  <c r="AZ35" i="28"/>
  <c r="AZ36" i="28"/>
  <c r="AZ37" i="28"/>
  <c r="AP21" i="28" l="1"/>
  <c r="AP23" i="28" s="1"/>
  <c r="AP25" i="28" s="1"/>
  <c r="AP33" i="28"/>
  <c r="AP35" i="28" s="1"/>
  <c r="AP37" i="28" s="1"/>
  <c r="AS25" i="28"/>
  <c r="AS34" i="28" s="1"/>
  <c r="AS29" i="28"/>
  <c r="AP27" i="28"/>
  <c r="AP29" i="28" s="1"/>
  <c r="AP31" i="28" s="1"/>
  <c r="CC91" i="28"/>
  <c r="CC100" i="28" s="1"/>
  <c r="CD100" i="28" s="1"/>
  <c r="CC93" i="28"/>
  <c r="CC102" i="28" s="1"/>
  <c r="CD102" i="28" s="1"/>
  <c r="CC95" i="28"/>
  <c r="CC96" i="28"/>
  <c r="CC105" i="28" s="1"/>
  <c r="CD105" i="28" s="1"/>
  <c r="CC98" i="28"/>
  <c r="CC99" i="28"/>
  <c r="CC108" i="28" s="1"/>
  <c r="CD108" i="28" s="1"/>
  <c r="CD91" i="28"/>
  <c r="CD74" i="28"/>
  <c r="CC74" i="28"/>
  <c r="CC83" i="28" s="1"/>
  <c r="CD83" i="28" s="1"/>
  <c r="CD93" i="28"/>
  <c r="CD95" i="28"/>
  <c r="CD78" i="28"/>
  <c r="CD96" i="28"/>
  <c r="CC78" i="28"/>
  <c r="CC87" i="28" s="1"/>
  <c r="CD87" i="28" s="1"/>
  <c r="CD98" i="28"/>
  <c r="CD99" i="28"/>
  <c r="CC81" i="28"/>
  <c r="CC90" i="28" s="1"/>
  <c r="CD90" i="28" s="1"/>
  <c r="CB78" i="28"/>
  <c r="CB87" i="28" s="1"/>
  <c r="CB96" i="28" s="1"/>
  <c r="CB105" i="28" s="1"/>
  <c r="CB81" i="28"/>
  <c r="CB90" i="28" s="1"/>
  <c r="CB99" i="28" s="1"/>
  <c r="CB108" i="28" s="1"/>
  <c r="CQ54" i="28"/>
  <c r="CR64" i="28" s="1"/>
  <c r="CQ57" i="28"/>
  <c r="CQ58" i="28"/>
  <c r="CQ51" i="28"/>
  <c r="CP52" i="28"/>
  <c r="CP54" i="28"/>
  <c r="CR63" i="28" s="1"/>
  <c r="CP55" i="28"/>
  <c r="CS63" i="28" s="1"/>
  <c r="CP56" i="28"/>
  <c r="CT63" i="28" s="1"/>
  <c r="CP57" i="28"/>
  <c r="CU63" i="28" s="1"/>
  <c r="CP58" i="28"/>
  <c r="CV63" i="28" s="1"/>
  <c r="CP59" i="28"/>
  <c r="CW63" i="28" s="1"/>
  <c r="B10" i="28"/>
  <c r="CA4" i="28"/>
  <c r="BZ4" i="28"/>
  <c r="BP4" i="28"/>
  <c r="CC80" i="28"/>
  <c r="CC89" i="28" s="1"/>
  <c r="CD89" i="28" s="1"/>
  <c r="CC97" i="28"/>
  <c r="CC106" i="28" s="1"/>
  <c r="CD106" i="28" s="1"/>
  <c r="CC79" i="28"/>
  <c r="CC88" i="28" s="1"/>
  <c r="CD88" i="28" s="1"/>
  <c r="CC77" i="28"/>
  <c r="CC94" i="28"/>
  <c r="CC103" i="28" s="1"/>
  <c r="CD103" i="28" s="1"/>
  <c r="CC76" i="28"/>
  <c r="CC85" i="28" s="1"/>
  <c r="CD85" i="28" s="1"/>
  <c r="CC75" i="28"/>
  <c r="CC84" i="28" s="1"/>
  <c r="CD84" i="28" s="1"/>
  <c r="CC92" i="28"/>
  <c r="CC101" i="28" s="1"/>
  <c r="CD101" i="28" s="1"/>
  <c r="CC73" i="28"/>
  <c r="CC82" i="28" s="1"/>
  <c r="CD82" i="28" s="1"/>
  <c r="CD97" i="28"/>
  <c r="CD79" i="28"/>
  <c r="CD77" i="28"/>
  <c r="CD94" i="28"/>
  <c r="CD76" i="28"/>
  <c r="CD75" i="28"/>
  <c r="CD92" i="28"/>
  <c r="CD73" i="28"/>
  <c r="BQ4" i="28"/>
  <c r="AZ49" i="28"/>
  <c r="AS85" i="28" s="1"/>
  <c r="AS94" i="28" s="1"/>
  <c r="AS103" i="28" s="1"/>
  <c r="AZ58" i="28"/>
  <c r="AS112" i="28" s="1"/>
  <c r="AS121" i="28" s="1"/>
  <c r="AS130" i="28" s="1"/>
  <c r="AZ40" i="28"/>
  <c r="AS58" i="28" s="1"/>
  <c r="AS67" i="28" s="1"/>
  <c r="AS76" i="28" s="1"/>
  <c r="AS40" i="28"/>
  <c r="AS49" i="28" s="1"/>
  <c r="BL13" i="28"/>
  <c r="BJ14" i="28"/>
  <c r="BL12" i="28"/>
  <c r="BL8" i="28"/>
  <c r="BL7" i="28"/>
  <c r="BL6" i="28"/>
  <c r="CB80" i="28"/>
  <c r="CB89" i="28" s="1"/>
  <c r="CB98" i="28" s="1"/>
  <c r="CB107" i="28" s="1"/>
  <c r="CB79" i="28"/>
  <c r="CB88" i="28" s="1"/>
  <c r="CB97" i="28" s="1"/>
  <c r="CB106" i="28" s="1"/>
  <c r="CB77" i="28"/>
  <c r="CB76" i="28"/>
  <c r="CB85" i="28" s="1"/>
  <c r="CB94" i="28" s="1"/>
  <c r="CB103" i="28" s="1"/>
  <c r="CB75" i="28"/>
  <c r="CB84" i="28" s="1"/>
  <c r="CB93" i="28" s="1"/>
  <c r="CB102" i="28" s="1"/>
  <c r="CB74" i="28"/>
  <c r="CB83" i="28" s="1"/>
  <c r="CB92" i="28" s="1"/>
  <c r="CB101" i="28" s="1"/>
  <c r="CB73" i="28"/>
  <c r="CB82" i="28" s="1"/>
  <c r="CB91" i="28" s="1"/>
  <c r="CB100" i="28" s="1"/>
  <c r="CC104" i="28" l="1"/>
  <c r="CD104" i="28" s="1"/>
  <c r="CB86" i="28"/>
  <c r="CB95" i="28" s="1"/>
  <c r="CB104" i="28" s="1"/>
  <c r="CC107" i="28"/>
  <c r="CD107" i="28" s="1"/>
  <c r="BY6" i="28"/>
  <c r="BS6" i="28"/>
  <c r="CO52" i="28"/>
  <c r="CP62" i="28" s="1"/>
  <c r="CC86" i="28"/>
  <c r="CD86" i="28" s="1"/>
  <c r="BY7" i="28"/>
  <c r="BS7" i="28"/>
  <c r="CO53" i="28"/>
  <c r="CQ62" i="28" s="1"/>
  <c r="BY12" i="28"/>
  <c r="BS12" i="28"/>
  <c r="BY13" i="28"/>
  <c r="BS13" i="28"/>
  <c r="BY8" i="28"/>
  <c r="CA86" i="28"/>
  <c r="BS8" i="28"/>
  <c r="CA104" i="28"/>
  <c r="CO54" i="28"/>
  <c r="CR62" i="28" s="1"/>
  <c r="CO59" i="28"/>
  <c r="CW62" i="28" s="1"/>
  <c r="CJ80" i="28"/>
  <c r="CO58" i="28"/>
  <c r="CV62" i="28" s="1"/>
  <c r="CJ79" i="28"/>
  <c r="CK73" i="28"/>
  <c r="CJ74" i="28"/>
  <c r="CK77" i="28" s="1"/>
  <c r="CJ75" i="28"/>
  <c r="CP63" i="28"/>
  <c r="CU64" i="28"/>
  <c r="CO64" i="28"/>
  <c r="CV64" i="28"/>
  <c r="CA85" i="28"/>
  <c r="CA89" i="28"/>
  <c r="CA99" i="28"/>
  <c r="CA108" i="28"/>
  <c r="CA76" i="28"/>
  <c r="CA107" i="28"/>
  <c r="CA83" i="28"/>
  <c r="CA74" i="28"/>
  <c r="CA90" i="28"/>
  <c r="CA94" i="28"/>
  <c r="CA81" i="28"/>
  <c r="CA80" i="28"/>
  <c r="CA92" i="28"/>
  <c r="CA103" i="28"/>
  <c r="CA102" i="28"/>
  <c r="CA84" i="28"/>
  <c r="CA98" i="28"/>
  <c r="CA101" i="28"/>
  <c r="CK74" i="28" l="1"/>
  <c r="BJ8" i="28"/>
  <c r="BJ7" i="28"/>
  <c r="BJ6" i="28"/>
  <c r="B9" i="28"/>
  <c r="B8" i="28"/>
  <c r="AZ47" i="28"/>
  <c r="BL5" i="28"/>
  <c r="BL11" i="28"/>
  <c r="AZ7" i="28"/>
  <c r="AZ6" i="28"/>
  <c r="AZ5" i="28"/>
  <c r="AZ4" i="28"/>
  <c r="BG4" i="28"/>
  <c r="BF4" i="28"/>
  <c r="BE4" i="28"/>
  <c r="BD4" i="28"/>
  <c r="BS5" i="28" l="1"/>
  <c r="BM14" i="28"/>
  <c r="CO51" i="28"/>
  <c r="CA79" i="28"/>
  <c r="BS11" i="28"/>
  <c r="BA20" i="28"/>
  <c r="BA19" i="28"/>
  <c r="CJ77" i="28"/>
  <c r="CK75" i="28" s="1"/>
  <c r="BY10" i="28"/>
  <c r="CJ78" i="28"/>
  <c r="CK76" i="28" s="1"/>
  <c r="BY11" i="28"/>
  <c r="BA22" i="28"/>
  <c r="BA21" i="28"/>
  <c r="CJ76" i="28"/>
  <c r="BY9" i="28"/>
  <c r="CJ73" i="28"/>
  <c r="BY5" i="28"/>
  <c r="BA24" i="28"/>
  <c r="BA28" i="28"/>
  <c r="BA26" i="28"/>
  <c r="BA23" i="28"/>
  <c r="BA25" i="28"/>
  <c r="BA27" i="28"/>
  <c r="BA29" i="28"/>
  <c r="BA30" i="28"/>
  <c r="BA37" i="28"/>
  <c r="AY37" i="28" s="1"/>
  <c r="BA17" i="28"/>
  <c r="BA35" i="28"/>
  <c r="AY35" i="28" s="1"/>
  <c r="BA32" i="28"/>
  <c r="AY32" i="28" s="1"/>
  <c r="BA34" i="28"/>
  <c r="AY34" i="28" s="1"/>
  <c r="BA18" i="28"/>
  <c r="BA33" i="28"/>
  <c r="AY33" i="28" s="1"/>
  <c r="BA36" i="28"/>
  <c r="AY36" i="28" s="1"/>
  <c r="CA77" i="28"/>
  <c r="CA95" i="28"/>
  <c r="CA78" i="28"/>
  <c r="CA87" i="28"/>
  <c r="CA105" i="28"/>
  <c r="CA96" i="28"/>
  <c r="CO57" i="28"/>
  <c r="CA106" i="28"/>
  <c r="CA97" i="28"/>
  <c r="CA88" i="28"/>
  <c r="CA100" i="28"/>
  <c r="CA82" i="28"/>
  <c r="CA91" i="28"/>
  <c r="CA73" i="28"/>
  <c r="BL14" i="28"/>
  <c r="BL15" i="28" s="1"/>
  <c r="AZ51" i="28"/>
  <c r="AS105" i="28" s="1"/>
  <c r="AS114" i="28" s="1"/>
  <c r="AS123" i="28" s="1"/>
  <c r="AZ52" i="28"/>
  <c r="AZ53" i="28"/>
  <c r="AS107" i="28" s="1"/>
  <c r="AS116" i="28" s="1"/>
  <c r="AS125" i="28" s="1"/>
  <c r="AZ54" i="28"/>
  <c r="AS108" i="28" s="1"/>
  <c r="AS117" i="28" s="1"/>
  <c r="AS126" i="28" s="1"/>
  <c r="AZ55" i="28"/>
  <c r="AS109" i="28" s="1"/>
  <c r="AS118" i="28" s="1"/>
  <c r="AS127" i="28" s="1"/>
  <c r="AZ56" i="28"/>
  <c r="AS110" i="28" s="1"/>
  <c r="AS119" i="28" s="1"/>
  <c r="AS128" i="28" s="1"/>
  <c r="AZ57" i="28"/>
  <c r="AS111" i="28" s="1"/>
  <c r="AS120" i="28" s="1"/>
  <c r="AS129" i="28" s="1"/>
  <c r="AZ50" i="28"/>
  <c r="AS104" i="28" s="1"/>
  <c r="AS113" i="28" s="1"/>
  <c r="AS122" i="28" s="1"/>
  <c r="AZ42" i="28"/>
  <c r="AS78" i="28" s="1"/>
  <c r="AS87" i="28" s="1"/>
  <c r="AS96" i="28" s="1"/>
  <c r="AZ43" i="28"/>
  <c r="AZ44" i="28"/>
  <c r="AS80" i="28" s="1"/>
  <c r="AS89" i="28" s="1"/>
  <c r="AS98" i="28" s="1"/>
  <c r="AZ45" i="28"/>
  <c r="AS81" i="28" s="1"/>
  <c r="AS90" i="28" s="1"/>
  <c r="AS99" i="28" s="1"/>
  <c r="AZ46" i="28"/>
  <c r="AS82" i="28" s="1"/>
  <c r="AS91" i="28" s="1"/>
  <c r="AS100" i="28" s="1"/>
  <c r="AS83" i="28"/>
  <c r="AS92" i="28" s="1"/>
  <c r="AS101" i="28" s="1"/>
  <c r="AZ48" i="28"/>
  <c r="AS84" i="28" s="1"/>
  <c r="AS93" i="28" s="1"/>
  <c r="AS102" i="28" s="1"/>
  <c r="AZ41" i="28"/>
  <c r="AS77" i="28" s="1"/>
  <c r="AS86" i="28" s="1"/>
  <c r="AS95" i="28" s="1"/>
  <c r="AS51" i="28"/>
  <c r="AS60" i="28" s="1"/>
  <c r="AS69" i="28" s="1"/>
  <c r="AS54" i="28"/>
  <c r="AS63" i="28" s="1"/>
  <c r="AS72" i="28" s="1"/>
  <c r="AS55" i="28"/>
  <c r="AS64" i="28" s="1"/>
  <c r="AS73" i="28" s="1"/>
  <c r="AZ38" i="28"/>
  <c r="AS56" i="28" s="1"/>
  <c r="AS65" i="28" s="1"/>
  <c r="AS74" i="28" s="1"/>
  <c r="AZ39" i="28"/>
  <c r="AS57" i="28" s="1"/>
  <c r="AS66" i="28" s="1"/>
  <c r="AS75" i="28" s="1"/>
  <c r="AS50" i="28"/>
  <c r="AS59" i="28" s="1"/>
  <c r="AS68" i="28" s="1"/>
  <c r="AS42" i="28"/>
  <c r="AS45" i="28"/>
  <c r="AS46" i="28"/>
  <c r="AZ16" i="28"/>
  <c r="AZ15" i="28"/>
  <c r="BA57" i="28"/>
  <c r="BA58" i="28" s="1"/>
  <c r="BA56" i="28"/>
  <c r="BA55" i="28"/>
  <c r="BA54" i="28"/>
  <c r="BA53" i="28"/>
  <c r="BA52" i="28"/>
  <c r="BA51" i="28"/>
  <c r="BA50" i="28"/>
  <c r="BA48" i="28"/>
  <c r="BA47" i="28"/>
  <c r="AY47" i="28" s="1"/>
  <c r="BA46" i="28"/>
  <c r="BA45" i="28"/>
  <c r="BA44" i="28"/>
  <c r="BA43" i="28"/>
  <c r="BA42" i="28"/>
  <c r="BA41" i="28"/>
  <c r="BA39" i="28"/>
  <c r="BA38" i="28"/>
  <c r="AR56" i="28" s="1"/>
  <c r="BA16" i="28"/>
  <c r="BA15" i="28"/>
  <c r="BR6" i="28" l="1"/>
  <c r="BR5" i="28"/>
  <c r="BS2" i="28"/>
  <c r="AY26" i="28"/>
  <c r="AR35" i="28"/>
  <c r="AR26" i="28"/>
  <c r="AO19" i="28"/>
  <c r="AO17" i="28"/>
  <c r="AR29" i="28"/>
  <c r="AY29" i="28"/>
  <c r="AY50" i="28"/>
  <c r="AY18" i="28"/>
  <c r="AO22" i="28"/>
  <c r="AO24" i="28"/>
  <c r="AO26" i="28"/>
  <c r="AY27" i="28"/>
  <c r="AR27" i="28"/>
  <c r="AR36" i="28"/>
  <c r="AO27" i="28"/>
  <c r="AO29" i="28"/>
  <c r="AO31" i="28"/>
  <c r="AY19" i="28"/>
  <c r="AO43" i="28" s="1"/>
  <c r="AR34" i="28"/>
  <c r="AY25" i="28"/>
  <c r="AR25" i="28"/>
  <c r="AO32" i="28"/>
  <c r="AO28" i="28"/>
  <c r="AO30" i="28"/>
  <c r="AY20" i="28"/>
  <c r="AO44" i="28" s="1"/>
  <c r="AR23" i="28"/>
  <c r="AY23" i="28"/>
  <c r="AR32" i="28"/>
  <c r="AY21" i="28"/>
  <c r="AO45" i="28" s="1"/>
  <c r="AO33" i="28"/>
  <c r="AO35" i="28"/>
  <c r="AO37" i="28"/>
  <c r="AY22" i="28"/>
  <c r="AO46" i="28" s="1"/>
  <c r="AO36" i="28"/>
  <c r="AO34" i="28"/>
  <c r="AY17" i="28"/>
  <c r="AO41" i="28" s="1"/>
  <c r="AO25" i="28"/>
  <c r="AO21" i="28"/>
  <c r="AO23" i="28"/>
  <c r="AR37" i="28"/>
  <c r="AY28" i="28"/>
  <c r="AR28" i="28"/>
  <c r="AO18" i="28"/>
  <c r="AO20" i="28"/>
  <c r="AR33" i="28"/>
  <c r="AY24" i="28"/>
  <c r="AR24" i="28"/>
  <c r="AR30" i="28"/>
  <c r="BA31" i="28"/>
  <c r="AY30" i="28"/>
  <c r="CO62" i="28"/>
  <c r="CU62" i="28"/>
  <c r="CT62" i="28"/>
  <c r="CS62" i="28"/>
  <c r="AR55" i="28"/>
  <c r="AY51" i="28"/>
  <c r="AR46" i="28"/>
  <c r="AR48" i="28"/>
  <c r="AR39" i="28"/>
  <c r="AR54" i="28"/>
  <c r="AY43" i="28"/>
  <c r="AR44" i="28"/>
  <c r="AR59" i="28"/>
  <c r="AR50" i="28"/>
  <c r="AR51" i="28"/>
  <c r="AR60" i="28"/>
  <c r="AR52" i="28"/>
  <c r="AR47" i="28"/>
  <c r="AR38" i="28"/>
  <c r="AY42" i="28"/>
  <c r="AR96" i="28"/>
  <c r="AY58" i="28"/>
  <c r="AR112" i="28"/>
  <c r="AR130" i="28"/>
  <c r="AR121" i="28"/>
  <c r="AR42" i="28"/>
  <c r="AS38" i="28"/>
  <c r="AS47" i="28" s="1"/>
  <c r="AR45" i="28"/>
  <c r="AY48" i="28"/>
  <c r="BA49" i="28"/>
  <c r="AR53" i="28"/>
  <c r="AR41" i="28"/>
  <c r="AY44" i="28"/>
  <c r="AS39" i="28"/>
  <c r="AS48" i="28" s="1"/>
  <c r="AR43" i="28"/>
  <c r="BA40" i="28"/>
  <c r="AR57" i="28"/>
  <c r="AY46" i="28"/>
  <c r="AY45" i="28"/>
  <c r="AP44" i="28"/>
  <c r="AP41" i="28"/>
  <c r="AP42" i="28"/>
  <c r="AP43" i="28"/>
  <c r="AY41" i="28"/>
  <c r="AP45" i="28"/>
  <c r="AP38" i="28"/>
  <c r="AP46" i="28"/>
  <c r="AP15" i="28"/>
  <c r="AP17" i="28" s="1"/>
  <c r="AP19" i="28" s="1"/>
  <c r="AP39" i="28"/>
  <c r="AP16" i="28"/>
  <c r="AP18" i="28" s="1"/>
  <c r="AP20" i="28" s="1"/>
  <c r="AP40" i="28"/>
  <c r="AS41" i="28"/>
  <c r="AY56" i="28"/>
  <c r="AY54" i="28"/>
  <c r="AY38" i="28"/>
  <c r="AR122" i="28"/>
  <c r="AO38" i="28"/>
  <c r="AR83" i="28"/>
  <c r="AY57" i="28"/>
  <c r="AO16" i="28"/>
  <c r="AR105" i="28"/>
  <c r="AR104" i="28"/>
  <c r="AR113" i="28"/>
  <c r="AR82" i="28"/>
  <c r="AR69" i="28"/>
  <c r="AR102" i="28"/>
  <c r="AR109" i="28"/>
  <c r="AR80" i="28"/>
  <c r="AR89" i="28"/>
  <c r="AR73" i="28"/>
  <c r="AR68" i="28"/>
  <c r="AR86" i="28"/>
  <c r="AR106" i="28"/>
  <c r="AR115" i="28"/>
  <c r="AR75" i="28"/>
  <c r="AR64" i="28"/>
  <c r="AR79" i="28"/>
  <c r="AR66" i="28"/>
  <c r="AR126" i="28"/>
  <c r="AR101" i="28"/>
  <c r="AR117" i="28"/>
  <c r="AS43" i="28"/>
  <c r="AS52" i="28"/>
  <c r="AS61" i="28" s="1"/>
  <c r="AS70" i="28" s="1"/>
  <c r="AS79" i="28"/>
  <c r="AS88" i="28" s="1"/>
  <c r="AS97" i="28" s="1"/>
  <c r="AS106" i="28"/>
  <c r="AS115" i="28" s="1"/>
  <c r="AS124" i="28" s="1"/>
  <c r="AO15" i="28"/>
  <c r="AR108" i="28"/>
  <c r="AS44" i="28"/>
  <c r="AS53" i="28"/>
  <c r="AS62" i="28" s="1"/>
  <c r="AS71" i="28" s="1"/>
  <c r="AR116" i="28"/>
  <c r="AR95" i="28"/>
  <c r="AR91" i="28"/>
  <c r="AR78" i="28"/>
  <c r="AR93" i="28"/>
  <c r="AR128" i="28"/>
  <c r="AR124" i="28"/>
  <c r="AR87" i="28"/>
  <c r="AR84" i="28"/>
  <c r="AR99" i="28"/>
  <c r="AR62" i="28"/>
  <c r="AR97" i="28"/>
  <c r="AY16" i="28"/>
  <c r="AO40" i="28" s="1"/>
  <c r="AR129" i="28"/>
  <c r="AR92" i="28"/>
  <c r="AR127" i="28"/>
  <c r="AR90" i="28"/>
  <c r="AR125" i="28"/>
  <c r="AR88" i="28"/>
  <c r="AR123" i="28"/>
  <c r="AY52" i="28"/>
  <c r="AR120" i="28"/>
  <c r="AR118" i="28"/>
  <c r="AR81" i="28"/>
  <c r="AR114" i="28"/>
  <c r="AR119" i="28"/>
  <c r="AR110" i="28"/>
  <c r="AY53" i="28"/>
  <c r="AR77" i="28"/>
  <c r="AR111" i="28"/>
  <c r="AR74" i="28"/>
  <c r="AR72" i="28"/>
  <c r="AR107" i="28"/>
  <c r="AR70" i="28"/>
  <c r="AR71" i="28"/>
  <c r="AR65" i="28"/>
  <c r="AR100" i="28"/>
  <c r="AR63" i="28"/>
  <c r="AR98" i="28"/>
  <c r="AR61" i="28"/>
  <c r="AY55" i="28"/>
  <c r="AY39" i="28"/>
  <c r="AO42" i="28"/>
  <c r="AY15" i="28"/>
  <c r="BJ5" i="28"/>
  <c r="B6" i="28" s="1"/>
  <c r="AO9" i="28" l="1"/>
  <c r="AP9" i="28" s="1"/>
  <c r="CL5" i="28"/>
  <c r="CL6" i="28"/>
  <c r="BN16" i="28"/>
  <c r="BN7" i="28" s="1"/>
  <c r="CQ63" i="28" s="1"/>
  <c r="CL4" i="28" s="1"/>
  <c r="BW14" i="28"/>
  <c r="BN14" i="28"/>
  <c r="BN17" i="28" s="1"/>
  <c r="BP14" i="28"/>
  <c r="AR31" i="28"/>
  <c r="AY31" i="28"/>
  <c r="AY40" i="28"/>
  <c r="AR76" i="28"/>
  <c r="AR67" i="28"/>
  <c r="AR58" i="28"/>
  <c r="AR40" i="28"/>
  <c r="AR49" i="28"/>
  <c r="AY49" i="28"/>
  <c r="AR103" i="28"/>
  <c r="AR94" i="28"/>
  <c r="AR85" i="28"/>
  <c r="AO39" i="28"/>
  <c r="CP42" i="28"/>
  <c r="CQ42" i="28"/>
  <c r="CR42" i="28"/>
  <c r="CO48" i="28" l="1"/>
  <c r="CP48" i="28"/>
  <c r="CR48" i="28"/>
  <c r="CQ48" i="28"/>
  <c r="CR50" i="28"/>
  <c r="CP50" i="28"/>
  <c r="CR49" i="28"/>
  <c r="CO43" i="28"/>
  <c r="CO50" i="28"/>
  <c r="CR19" i="28"/>
  <c r="CR37" i="28" s="1"/>
  <c r="CR41" i="28"/>
  <c r="CO49" i="28"/>
  <c r="CO41" i="28"/>
  <c r="CQ50" i="28"/>
  <c r="CP41" i="28"/>
  <c r="CQ49" i="28"/>
  <c r="CQ41" i="28"/>
  <c r="CP49" i="28"/>
  <c r="CQ19" i="28"/>
  <c r="CP19" i="28"/>
  <c r="AO8" i="28"/>
  <c r="AP8" i="28" s="1"/>
  <c r="AP10" i="28"/>
  <c r="AO13" i="28"/>
  <c r="CP43" i="28"/>
  <c r="CR43" i="28"/>
  <c r="CQ43" i="28"/>
  <c r="CO19" i="28"/>
  <c r="CX12" i="28"/>
  <c r="CA75" i="28"/>
  <c r="CA93" i="28"/>
  <c r="CP53" i="28"/>
  <c r="CY12" i="28"/>
  <c r="CW12" i="28"/>
  <c r="CZ12" i="28"/>
  <c r="CR12" i="28"/>
  <c r="CQ12" i="28"/>
  <c r="CP12" i="28"/>
  <c r="CO12" i="28"/>
  <c r="BO5" i="28"/>
  <c r="BO6" i="28"/>
  <c r="BO7" i="28"/>
  <c r="BO8" i="28"/>
  <c r="BO9" i="28"/>
  <c r="BO10" i="28"/>
  <c r="BO11" i="28"/>
  <c r="CR16" i="28" s="1"/>
  <c r="BO12" i="28"/>
  <c r="CO42" i="28"/>
  <c r="CR36" i="28"/>
  <c r="CO36" i="28"/>
  <c r="CR34" i="28" l="1"/>
  <c r="CO16" i="28"/>
  <c r="CQ16" i="28"/>
  <c r="CP16" i="28"/>
  <c r="AQ8" i="28"/>
  <c r="B24" i="28" s="1"/>
  <c r="CB114" i="28"/>
  <c r="CD114" i="28"/>
  <c r="CC114" i="28"/>
  <c r="B4" i="28"/>
  <c r="CR23" i="28"/>
  <c r="CP23" i="28"/>
  <c r="CQ23" i="28"/>
  <c r="CO23" i="28"/>
  <c r="C23" i="28" l="1"/>
  <c r="C20" i="28"/>
  <c r="B27" i="28"/>
  <c r="BX4" i="28"/>
  <c r="BW4" i="28"/>
  <c r="BM4" i="28"/>
  <c r="CO17" i="28" l="1"/>
  <c r="CR25" i="28"/>
  <c r="CQ22" i="28"/>
  <c r="CR17" i="28"/>
  <c r="CQ40" i="28"/>
  <c r="CO22" i="28"/>
  <c r="CR40" i="28"/>
  <c r="CR22" i="28"/>
  <c r="CQ34" i="28"/>
  <c r="CP25" i="28"/>
  <c r="CP22" i="28"/>
  <c r="CP17" i="28"/>
  <c r="CO40" i="28"/>
  <c r="CQ25" i="28"/>
  <c r="CQ17" i="28"/>
  <c r="CQ35" i="28" s="1"/>
  <c r="CP40" i="28"/>
  <c r="CP34" i="28"/>
  <c r="CO25" i="28"/>
  <c r="CP35" i="28" l="1"/>
  <c r="CO34" i="28"/>
  <c r="CO35" i="28"/>
  <c r="CR35" i="28"/>
  <c r="CR20" i="28" l="1"/>
  <c r="CO20" i="28" l="1"/>
  <c r="CP20" i="28"/>
  <c r="CP38" i="28" s="1"/>
  <c r="B12" i="28"/>
  <c r="B15" i="28"/>
  <c r="CQ20" i="28"/>
  <c r="CQ38" i="28" s="1"/>
  <c r="B19" i="28"/>
  <c r="CP37" i="28"/>
  <c r="CQ37" i="28"/>
  <c r="B26" i="28" l="1"/>
  <c r="B22" i="28"/>
  <c r="B21" i="28"/>
  <c r="B17" i="28"/>
  <c r="B16" i="28"/>
  <c r="CO29" i="28"/>
  <c r="D18" i="28"/>
  <c r="D25" i="28" s="1"/>
  <c r="C18" i="28"/>
  <c r="B18" i="28"/>
  <c r="B25" i="28"/>
  <c r="C16" i="28"/>
  <c r="B28" i="28"/>
  <c r="AO12" i="28"/>
  <c r="CR45" i="28"/>
  <c r="CO45" i="28"/>
  <c r="CQ47" i="28"/>
  <c r="CR47" i="28"/>
  <c r="CP45" i="28"/>
  <c r="CQ45" i="28"/>
  <c r="CO47" i="28"/>
  <c r="CP47" i="28"/>
  <c r="B14" i="28"/>
  <c r="CR29" i="28"/>
  <c r="CP29" i="28"/>
  <c r="CP27" i="28"/>
  <c r="CO27" i="28"/>
  <c r="CQ27" i="28"/>
  <c r="CQ29" i="28"/>
  <c r="CR27" i="28"/>
  <c r="CR38" i="28"/>
  <c r="B23" i="28" s="1"/>
  <c r="CO37" i="28"/>
  <c r="B20" i="28" s="1"/>
  <c r="CO38" i="28"/>
  <c r="B30" i="28" l="1"/>
  <c r="B32" i="28"/>
  <c r="C22" i="28"/>
  <c r="C21" i="28"/>
  <c r="C28" i="28"/>
  <c r="C29" i="28" s="1"/>
  <c r="C30" i="28"/>
  <c r="C31" i="28" s="1"/>
  <c r="D26" i="28"/>
  <c r="D28" i="28" s="1"/>
  <c r="D32" i="28" s="1"/>
  <c r="D16" i="28"/>
  <c r="D20" i="28" s="1"/>
  <c r="D21" i="28" s="1"/>
  <c r="D22" i="28" s="1"/>
  <c r="D30" i="28" l="1"/>
  <c r="CS67" i="28"/>
  <c r="C32" i="28"/>
  <c r="C33" i="28" s="1"/>
  <c r="D23" i="28"/>
  <c r="D17" i="28"/>
</calcChain>
</file>

<file path=xl/sharedStrings.xml><?xml version="1.0" encoding="utf-8"?>
<sst xmlns="http://schemas.openxmlformats.org/spreadsheetml/2006/main" count="249" uniqueCount="179">
  <si>
    <t>Colombia</t>
  </si>
  <si>
    <t>Ecuador</t>
  </si>
  <si>
    <t>FOB</t>
  </si>
  <si>
    <t>Nicaragua</t>
  </si>
  <si>
    <t>Panama</t>
  </si>
  <si>
    <t>Peru</t>
  </si>
  <si>
    <t>Dominican Republic</t>
  </si>
  <si>
    <t>Type of banana</t>
  </si>
  <si>
    <t>conventional Fairtrade banana</t>
  </si>
  <si>
    <t>organic Fairtrade banana</t>
  </si>
  <si>
    <t>Fairtrade Minimum Price</t>
  </si>
  <si>
    <t>Special carton box</t>
  </si>
  <si>
    <t>without including</t>
  </si>
  <si>
    <t>Ex Works</t>
  </si>
  <si>
    <t>Price level</t>
  </si>
  <si>
    <t>COUNTRY</t>
  </si>
  <si>
    <t>VAT or w/o VAT</t>
  </si>
  <si>
    <t>Choose banana producer country:</t>
  </si>
  <si>
    <t>Choose type of Fairtrade banana:</t>
  </si>
  <si>
    <t xml:space="preserve"> </t>
  </si>
  <si>
    <t>PLEASE COMPLETE EMPTY CELLS WITH THE INFORMATION OF THE PACKING BOX YOU WANT TO RUN THE PRO-RATA</t>
  </si>
  <si>
    <t>Standard carton box (Fairtrade)</t>
  </si>
  <si>
    <t>Prorate</t>
  </si>
  <si>
    <t>Please NOTE THAT the prorate examples ARE ONLY BASED on the variation of: a) the weight of fruit per box and b) the price of the type of packing box. ADDITIONAL COSTS, or PRICE VARIATIONS OF EXISTING INPUTS, might be also involved; for prorating them the Fairtrade Standards for Fresh Fruits must always apply.</t>
  </si>
  <si>
    <t>Elija el país productor de banano:</t>
  </si>
  <si>
    <t>Elija el tipo de banano Fairtrade:</t>
  </si>
  <si>
    <t>Precio Mínimo Fairtrade</t>
  </si>
  <si>
    <t>Caja de cartón especial</t>
  </si>
  <si>
    <t>Prorrateo</t>
  </si>
  <si>
    <t>Caja de cartón estándar (Fairtrade)</t>
  </si>
  <si>
    <t>Caja IFCO</t>
  </si>
  <si>
    <t>Tenga en cuenta que los ejemplos de prorrateo SE BASAN ÚNICAMENTE en la variación de: a) el peso de la fruta por caja y b) el precio de la caja que depende el material de empaque que tenga la caja. También puede haber costes adicionales o variaciones de precio de los insumos existentes; para prorratearlos deben aplicarse siempre los Criterios de Comercio Justo Fairtrade para Frutas Frescas.</t>
  </si>
  <si>
    <t>sin incluir</t>
  </si>
  <si>
    <t>banano Fairtrade convencional</t>
  </si>
  <si>
    <t xml:space="preserve">banano Fairtrade orgánico </t>
  </si>
  <si>
    <t>Caja de cartón estándar</t>
  </si>
  <si>
    <t>Panamá</t>
  </si>
  <si>
    <t>Perú</t>
  </si>
  <si>
    <t>República Dominicana</t>
  </si>
  <si>
    <t>Pérou</t>
  </si>
  <si>
    <t>Colombie</t>
  </si>
  <si>
    <t>Équateur</t>
  </si>
  <si>
    <t>République dominicaine</t>
  </si>
  <si>
    <t>Colômbia</t>
  </si>
  <si>
    <t>Equador</t>
  </si>
  <si>
    <t>Nicarágua</t>
  </si>
  <si>
    <t>sem incluir</t>
  </si>
  <si>
    <t>banana convencional de comércio justo</t>
  </si>
  <si>
    <t>banana biológica de comércio justo</t>
  </si>
  <si>
    <t>sans inclure</t>
  </si>
  <si>
    <t>banane conventionnelle du commerce équitable</t>
  </si>
  <si>
    <t>Choisissez le pays producteur de bananes:</t>
  </si>
  <si>
    <t>Choisissez le type de banane du commerce équitable:</t>
  </si>
  <si>
    <t>Escolher país produtor de banana:</t>
  </si>
  <si>
    <t>Escolher o tipo de banana de Comércio Justo:</t>
  </si>
  <si>
    <t>Boîte en carton standard (commerce équitable)</t>
  </si>
  <si>
    <t>Caixa de cartão padrão (Comércio Justo)</t>
  </si>
  <si>
    <t>Preço Mínimo de Comércio Justo</t>
  </si>
  <si>
    <t>Prix minimum du commerce équitable</t>
  </si>
  <si>
    <t>Boîte en carton spéciale</t>
  </si>
  <si>
    <t>Caixa de cartão especial</t>
  </si>
  <si>
    <t>Rateio</t>
  </si>
  <si>
    <t>Répartition</t>
  </si>
  <si>
    <t>Boîte IFCO</t>
  </si>
  <si>
    <t>Caixa IFCO</t>
  </si>
  <si>
    <t>Veuillez noter que les exemples de prorata sont uniquement basés sur la variation : a) du poids des fruits par boîte et b) du prix du type de boîte d'emballage. Des coûts supplémentaires, ou des variations de prix des entrées existantes, peuvent également être impliqués ; pour les calculer au prorata, les standards du commerce équitable pour les fruits frais doivent toujours s'appliquer.</t>
  </si>
  <si>
    <t>Por favor, note que os exemplos pro rata SÓ se baseiam na variação: a) do peso da fruta por caixa e b) do preço do tipo de caixa de embalagem. CUSTOS ADICIONAIS, ou VARIAÇÕES DE PREÇO DE ENTRADAS EXISTENTES, podem também estar envolvidos; para a sua prorrogação devem aplicar-se sempre as Normas de Comércio Justo para Frutas Frescas.</t>
  </si>
  <si>
    <t>POR FAVOR PREENCHA AS CÉLULAS VAZIAS COM A INFORMAÇÃO DA CAIXA DE EMBALAGEM QUE DESEJA FAZER O CÁLCULO PROPORCIONAL</t>
  </si>
  <si>
    <t>VEUILLEZ REMPLIR LES CELLULES VIDES AVEC LES INFORMATIONS RELATIVES À LA BOÎTE D'EMBALLAGE QUE VOUS SOUHAITEZ UTILISER AU PRORATA</t>
  </si>
  <si>
    <t>organic</t>
  </si>
  <si>
    <t>biologique</t>
  </si>
  <si>
    <t>biológica</t>
  </si>
  <si>
    <t>conventional</t>
  </si>
  <si>
    <t>conventionnelle</t>
  </si>
  <si>
    <t>convencional</t>
  </si>
  <si>
    <t>orgánica</t>
  </si>
  <si>
    <t>Choose language/ Elegir idioma/ Choisir la langue/ Escolher idioma:</t>
  </si>
  <si>
    <t>English</t>
  </si>
  <si>
    <r>
      <t>Espa</t>
    </r>
    <r>
      <rPr>
        <sz val="11"/>
        <color theme="1"/>
        <rFont val="Calibri"/>
        <family val="2"/>
      </rPr>
      <t>ñ</t>
    </r>
    <r>
      <rPr>
        <sz val="11"/>
        <color theme="1"/>
        <rFont val="Calibri"/>
        <family val="2"/>
        <scheme val="minor"/>
      </rPr>
      <t>ol</t>
    </r>
  </si>
  <si>
    <t>Português</t>
  </si>
  <si>
    <t>Français</t>
  </si>
  <si>
    <t>banane biologique du commerce équitable</t>
  </si>
  <si>
    <t>TRUE para ocultar texto,
FALSE para mostrar texto</t>
  </si>
  <si>
    <t>si vemos #N/A, confirma que el idioma elegido y el idioma del nombre país no coinciden.
Si vemos un nombre significa que el idioma elegido y el idioma del nombre país coinciden</t>
  </si>
  <si>
    <t>POR FAVOR, COMPLETE LAS CELDAS VACÍAS CON LA INFORMACIÓN DE LA CAJA DE EMPAQUE PARA LA QUE DESEA HACER EL CÁLCULO DEL PRORRATEO</t>
  </si>
  <si>
    <t>Saint Lucia</t>
  </si>
  <si>
    <t>Sainte-Lucie</t>
  </si>
  <si>
    <t>Santa Lúcia</t>
  </si>
  <si>
    <t>Santa Lucía</t>
  </si>
  <si>
    <t>Ghana</t>
  </si>
  <si>
    <t>Cameroon</t>
  </si>
  <si>
    <t>Camerún</t>
  </si>
  <si>
    <t>Cameroun</t>
  </si>
  <si>
    <t>Camarões</t>
  </si>
  <si>
    <t>Gana</t>
  </si>
  <si>
    <t>EN-FR</t>
  </si>
  <si>
    <t>EN-PT</t>
  </si>
  <si>
    <t>EN</t>
  </si>
  <si>
    <t>EN-SP</t>
  </si>
  <si>
    <t>FR-EN</t>
  </si>
  <si>
    <t>FR</t>
  </si>
  <si>
    <t>FR-PT</t>
  </si>
  <si>
    <t>FR-SP</t>
  </si>
  <si>
    <t>PT-EN</t>
  </si>
  <si>
    <t>PT</t>
  </si>
  <si>
    <t>PT-FR</t>
  </si>
  <si>
    <t>PT-SP</t>
  </si>
  <si>
    <t>SP</t>
  </si>
  <si>
    <t>SP-EN</t>
  </si>
  <si>
    <t>SP-FR</t>
  </si>
  <si>
    <t>SP-PT</t>
  </si>
  <si>
    <t>LA TABLA DE ABAJO NO SIRVE</t>
  </si>
  <si>
    <t>Main Port</t>
  </si>
  <si>
    <t>Secondary port</t>
  </si>
  <si>
    <t>Name of main port</t>
  </si>
  <si>
    <t>Moin (CR)</t>
  </si>
  <si>
    <t>Paita</t>
  </si>
  <si>
    <t>Bolivar</t>
  </si>
  <si>
    <t>Castries</t>
  </si>
  <si>
    <t>Tema</t>
  </si>
  <si>
    <t>Manzanillo</t>
  </si>
  <si>
    <t>Corinto</t>
  </si>
  <si>
    <t>Douala</t>
  </si>
  <si>
    <t>Name of the secondary port</t>
  </si>
  <si>
    <t>Colón (PA)</t>
  </si>
  <si>
    <t>Caucedo</t>
  </si>
  <si>
    <t>Puerto:</t>
  </si>
  <si>
    <t>Port:</t>
  </si>
  <si>
    <t>Porto:</t>
  </si>
  <si>
    <t>Caja</t>
  </si>
  <si>
    <t>conv</t>
  </si>
  <si>
    <t>org</t>
  </si>
  <si>
    <t>main port</t>
  </si>
  <si>
    <t>secondary port</t>
  </si>
  <si>
    <t>EXW</t>
  </si>
  <si>
    <t>an8</t>
  </si>
  <si>
    <t>an9</t>
  </si>
  <si>
    <t xml:space="preserve">Please re-enter the name of the banana producer country, the type of banana Fairtrade and the name of the port, according with the chose language  </t>
  </si>
  <si>
    <t xml:space="preserve">Veuillez saisir à nouveau le nom du pays producteur de bananes, le type de banane Fairtrade et le nom du port, en fonction de la langue choisie </t>
  </si>
  <si>
    <t xml:space="preserve">Por favor, re-insira o nome do país produtor da banana, o tipo de banana Fairtrade e o nome do porto, de acordo com a língua escolhida  </t>
  </si>
  <si>
    <t xml:space="preserve">Por favor, ingrese el nombre del país productor de banano, el tipo de banano Fairtrade y el nombre del puerto, de acuerdo con el idioma elegido </t>
  </si>
  <si>
    <t>Costs for the use of IFCO crates for the producer trading at FOB level (From the following list only consider those costs incurred by the producer trading at FOB level: rental of IFCO crates, destocking, customs and clearance, transport of IFCO crates to the farm, re stocking of inventory due to loss or damage of IFCO crates, etc.).</t>
  </si>
  <si>
    <t>Coûts liés à l'utilisation des caisses IFCO pour le producteur négociant au niveau FOB (Dans la liste suivante, ne considérez que les coûts encourus par le producteur qui commercialise au niveau FOB: location des caisses IFCO, déstockage, douane et dédouanement, transport des caisses IFCO jusqu'à l'exploitation, réapprovisionnement des stocks en cas de perte ou d'endommagement des caisses IFCO, etc.)</t>
  </si>
  <si>
    <t>Custos de utilização de caixas IFCO para o produtor que comercializa ao nível FOB (Da lista que se segue, considerar apenas os custos incorridos pelo produtor que comercializa ao nível FOB: aluguer de caixas IFCO, desarmazenagem, alfândegas e desalfandegamento, transporte de caixas IFCO para a unidade de produção, reposição de existências devido a perda ou dano de caixas IFCO, etc.).</t>
  </si>
  <si>
    <t>Costos por uso de cajas IFCO para el productor que comercializa a nivel FOB (De la siguiente lista considere solamente aquellos costos incurridos por el productor que comercializa a nivel FOB: arriendo de cajas IFCO, desalmacenaje, nacionalización, transporte de cajas IFCO a la finca, reposición de inventario por pédidas o daño de cajas IFCO, etc)</t>
  </si>
  <si>
    <t>Costs for the use of IFCO crates for the producer trading at Ex Works level (From the following list only consider those costs incurred by the producer trading at Ex Works level: rental of IFCO crates, destocking, customs and clearance, transport of IFCO crates to the farm, re stocking of inventory due to loss or damage of IFCO crates, etc.).</t>
  </si>
  <si>
    <t>Coûts liés à l'utilisation des caisses IFCO pour le producteur négociant au niveau Ex Works (Dans la liste suivante, ne considérez que les coûts encourus par le producteur qui commercialise au niveau Ex Works: location des caisses IFCO, déstockage, douane et dédouanement, transport des caisses IFCO jusqu'à l'exploitation, réapprovisionnement des stocks en cas de perte ou d'endommagement des caisses IFCO, etc.)</t>
  </si>
  <si>
    <t>Custos de utilização de caixas IFCO para o produtor que comercializa ao nível Ex Works (Da lista que se segue, considerar apenas os custos incorridos pelo produtor que comercializa ao nível Ex Works: aluguer de caixas IFCO, desarmazenagem, alfândegas e desalfandegamento, transporte de caixas IFCO para a unidade de produção, reposição de existências devido a perda ou dano de caixas IFCO, etc.).</t>
  </si>
  <si>
    <t>Costos por uso de cajas IFCO para el productor que comercializa a nivel Ex Works (De la siguiente lista considere solamente aquellos costos incurridos por el productor que comercializa a nivel Ex Works: arriendo de cajas IFCO, desalmacenaje, nacionalización, transporte de cajas IFCO a la finca, reposición de inventario por pédidas o daño de cajas IFCO, etc)</t>
  </si>
  <si>
    <t>IFCO crate</t>
  </si>
  <si>
    <t>#N/A significa que no existe convencional</t>
  </si>
  <si>
    <t>FMP existente:</t>
  </si>
  <si>
    <t>Prorateo solicitado:</t>
  </si>
  <si>
    <t>TRUE significa que solo falta completar el nombre del puerto</t>
  </si>
  <si>
    <t>main</t>
  </si>
  <si>
    <t>secondary</t>
  </si>
  <si>
    <t>min</t>
  </si>
  <si>
    <t>second</t>
  </si>
  <si>
    <t>Moin (CR)/Cortez (HN)</t>
  </si>
  <si>
    <t>Park Kribi</t>
  </si>
  <si>
    <t>Guayaquil (arriving to port from Machala)</t>
  </si>
  <si>
    <t>Guayaquil/Posorja (arriving to port from Santa Elena)</t>
  </si>
  <si>
    <t>Guayaquil (llegando a puerto desde Machala)</t>
  </si>
  <si>
    <t>Guayaquil/Posorja (llegando a puerto desde Santa Elena)</t>
  </si>
  <si>
    <t>Guayaquil (arrivée au port de Machala)</t>
  </si>
  <si>
    <t>Guayaquil/Posorja (arrivant au port de Santa Elena)</t>
  </si>
  <si>
    <t>Guayaquil (chegada ao porto desde Machala)</t>
  </si>
  <si>
    <t>Guayaquil/Posorja (chegada ao porto desde Santa Elena)</t>
  </si>
  <si>
    <t>listado de puertos</t>
  </si>
  <si>
    <t>perdida o dano de materiales lo eliminamos por la siguiente razón: el carton estandar de dana por el tipo de material, se deteriora faacilmente, humedad, etc se tiene estadistica confiable para perdida dano de 0.5% del total de cajas. La caja IFCO se dana por manejo, no sabemos aun que porcentaje se puede danar, se necesita más estadistica para poder definir un porcentaje de pérdida</t>
  </si>
  <si>
    <r>
      <t xml:space="preserve">Costos por uso de cajas IFCO para el productor que comercializa a nivel FOB (De la siguiente lista </t>
    </r>
    <r>
      <rPr>
        <b/>
        <sz val="11"/>
        <color theme="1"/>
        <rFont val="Calibri"/>
        <family val="2"/>
        <scheme val="minor"/>
      </rPr>
      <t>"considere solamente aquellos costos incurridos por el productor"</t>
    </r>
    <r>
      <rPr>
        <sz val="11"/>
        <color theme="1"/>
        <rFont val="Calibri"/>
        <family val="2"/>
        <scheme val="minor"/>
      </rPr>
      <t xml:space="preserve"> que comercializa a nivel FOB: arriendo de cajas IFCO, desalmacenaje, nacionalización, transporte de cajas IFCO a la finca, etc):</t>
    </r>
  </si>
  <si>
    <t>" C O N S I D E R E   S O L A M E N T E   A Q U E L L O S   C O S T O S   I N C U R R I D O S   P O R   E L   P R O D U C T O R "</t>
  </si>
  <si>
    <t>" C O N S I D E R   O N L Y   T H O S E   C O S T S   I N C U R R E D   B Y   T H E   P R O D U C E R "</t>
  </si>
  <si>
    <t>" N E   C O N S I D E R E R   Q U E   L E S   C O U T S   S U P P O R T E S   P A R   L E   P R O D U C T E U R "</t>
  </si>
  <si>
    <t>" C O N S I D E R A R   A P E N A S   O S   C U S T O S   I N C O R R I D O S   P E L O   P R O D U C E R "</t>
  </si>
  <si>
    <t>La herramienta  prorratea los Precios Mínimos Fairtrade de la caja de cartón estándar de 18.14 kg a una caja IFCO (de un peso en kilos, indicado por el usuario en la celda vacía del formulario).</t>
  </si>
  <si>
    <t>A ferramenta reparte os Preços Mínimos de Comércio Justo da caixa de cartão padrão de 18.14 kg para uma caixa IFCO (com um peso em quilos, indicado pelo utilizador na célula vazia do formulário).</t>
  </si>
  <si>
    <t>L'outil répartit les prix minimums du commerce équitable entre une boîte en carton standard de 18.14 kg et une boîte IFCO (d'un poids en kilos, indiqué par l'utilisateur dans la cellule vide du formulaire).</t>
  </si>
  <si>
    <t>The tool prorates the Fairtrade Minimum Prices from the standard 18.14 kg cardboard box to an IFCO crate (of a weight in kilos, indicated by the user in the empty cell of the form).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</si>
</sst>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x14ac:knownFonts="1">
    <font>
      <sz val="11"/>
      <color theme="1"/>
      <name val="Calibri"/>
      <family val="2"/>
      <scheme val="minor"/>
    </font>
    <font>
      <b/>
      <sz val="11"/>
      <color theme="1"/>
      <name val="Calibri"/>
      <family val="2"/>
      <scheme val="minor"/>
    </font>
    <font>
      <sz val="11"/>
      <name val="Calibri"/>
      <family val="2"/>
      <scheme val="minor"/>
    </font>
    <font>
      <sz val="12"/>
      <color theme="1"/>
      <name val="Calibri"/>
      <family val="2"/>
      <scheme val="minor"/>
    </font>
    <font>
      <b/>
      <sz val="11"/>
      <name val="Calibri"/>
      <family val="2"/>
      <scheme val="minor"/>
    </font>
    <font>
      <b/>
      <sz val="14"/>
      <color rgb="FFFF0000"/>
      <name val="Calibri"/>
      <family val="2"/>
      <scheme val="minor"/>
    </font>
    <font>
      <b/>
      <sz val="14"/>
      <color rgb="FF0088EE"/>
      <name val="Calibri"/>
      <family val="2"/>
      <scheme val="minor"/>
    </font>
    <font>
      <b/>
      <sz val="12"/>
      <color rgb="FF0088EE"/>
      <name val="Calibri"/>
      <family val="2"/>
      <scheme val="minor"/>
    </font>
    <font>
      <b/>
      <sz val="20"/>
      <color rgb="FFFF0000"/>
      <name val="Calibri"/>
      <family val="2"/>
      <scheme val="minor"/>
    </font>
    <font>
      <sz val="12"/>
      <color theme="1"/>
      <name val="Calibri"/>
      <family val="2"/>
    </font>
    <font>
      <b/>
      <sz val="20"/>
      <color theme="1"/>
      <name val="Calibri"/>
      <family val="2"/>
      <scheme val="minor"/>
    </font>
    <font>
      <b/>
      <sz val="12"/>
      <color theme="0"/>
      <name val="Calibri"/>
      <family val="2"/>
      <scheme val="minor"/>
    </font>
    <font>
      <b/>
      <sz val="20"/>
      <color theme="0"/>
      <name val="Calibri Light"/>
      <family val="2"/>
      <scheme val="major"/>
    </font>
    <font>
      <b/>
      <sz val="12"/>
      <color theme="9" tint="-0.249977111117893"/>
      <name val="Calibri"/>
      <family val="2"/>
      <scheme val="minor"/>
    </font>
    <font>
      <sz val="11"/>
      <color rgb="FFFF0000"/>
      <name val="Calibri"/>
      <family val="2"/>
      <scheme val="minor"/>
    </font>
    <font>
      <sz val="20"/>
      <color theme="1"/>
      <name val="Arial Black"/>
      <family val="2"/>
    </font>
    <font>
      <sz val="11"/>
      <color theme="1"/>
      <name val="Calibri"/>
      <family val="2"/>
    </font>
    <font>
      <b/>
      <sz val="16"/>
      <color theme="7"/>
      <name val="Calibri"/>
      <family val="2"/>
      <scheme val="minor"/>
    </font>
    <font>
      <b/>
      <sz val="15"/>
      <color theme="1"/>
      <name val="Calibri"/>
      <family val="2"/>
      <scheme val="minor"/>
    </font>
    <font>
      <sz val="7"/>
      <color theme="1"/>
      <name val="Calibri"/>
      <family val="2"/>
      <scheme val="minor"/>
    </font>
    <font>
      <sz val="9"/>
      <color theme="1"/>
      <name val="Calibri"/>
      <family val="2"/>
      <scheme val="minor"/>
    </font>
    <font>
      <b/>
      <sz val="9"/>
      <color theme="1"/>
      <name val="Calibri"/>
      <family val="2"/>
      <scheme val="minor"/>
    </font>
    <font>
      <b/>
      <sz val="7"/>
      <color theme="1"/>
      <name val="Calibri"/>
      <family val="2"/>
      <scheme val="minor"/>
    </font>
    <font>
      <sz val="11"/>
      <color theme="9" tint="-0.249977111117893"/>
      <name val="Calibri"/>
      <family val="2"/>
      <scheme val="minor"/>
    </font>
    <font>
      <sz val="8"/>
      <color theme="1"/>
      <name val="Calibri"/>
      <family val="2"/>
      <scheme val="minor"/>
    </font>
    <font>
      <b/>
      <sz val="9"/>
      <color rgb="FF0070C0"/>
      <name val="Calibri"/>
      <family val="2"/>
      <scheme val="minor"/>
    </font>
    <font>
      <b/>
      <sz val="11"/>
      <color rgb="FFFF0000"/>
      <name val="Calibri"/>
      <family val="2"/>
      <scheme val="minor"/>
    </font>
    <font>
      <sz val="10"/>
      <name val="Calibri"/>
      <family val="2"/>
      <scheme val="minor"/>
    </font>
    <font>
      <sz val="10"/>
      <color theme="1"/>
      <name val="Calibri"/>
      <family val="2"/>
      <scheme val="minor"/>
    </font>
    <font>
      <b/>
      <sz val="10"/>
      <color theme="1"/>
      <name val="Calibri"/>
      <family val="2"/>
      <scheme val="minor"/>
    </font>
  </fonts>
  <fills count="12">
    <fill>
      <patternFill patternType="none"/>
    </fill>
    <fill>
      <patternFill patternType="gray125"/>
    </fill>
    <fill>
      <patternFill patternType="solid">
        <fgColor theme="0"/>
        <bgColor indexed="64"/>
      </patternFill>
    </fill>
    <fill>
      <patternFill patternType="solid">
        <fgColor theme="9" tint="0.59999389629810485"/>
        <bgColor indexed="64"/>
      </patternFill>
    </fill>
    <fill>
      <patternFill patternType="solid">
        <fgColor theme="9" tint="-0.249977111117893"/>
        <bgColor indexed="64"/>
      </patternFill>
    </fill>
    <fill>
      <patternFill patternType="solid">
        <fgColor rgb="FFFFFF00"/>
        <bgColor indexed="64"/>
      </patternFill>
    </fill>
    <fill>
      <patternFill patternType="solid">
        <fgColor theme="2" tint="-9.9978637043366805E-2"/>
        <bgColor indexed="64"/>
      </patternFill>
    </fill>
    <fill>
      <patternFill patternType="solid">
        <fgColor rgb="FFFFC000"/>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rgb="FF71C2FF"/>
        <bgColor indexed="64"/>
      </patternFill>
    </fill>
    <fill>
      <patternFill patternType="solid">
        <fgColor rgb="FF00B0F0"/>
        <bgColor indexed="64"/>
      </patternFill>
    </fill>
  </fills>
  <borders count="37">
    <border>
      <left/>
      <right/>
      <top/>
      <bottom/>
      <diagonal/>
    </border>
    <border>
      <left style="thin">
        <color auto="1"/>
      </left>
      <right style="thin">
        <color auto="1"/>
      </right>
      <top style="thin">
        <color auto="1"/>
      </top>
      <bottom style="thin">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style="medium">
        <color auto="1"/>
      </right>
      <top/>
      <bottom/>
      <diagonal/>
    </border>
    <border>
      <left style="medium">
        <color auto="1"/>
      </left>
      <right style="thin">
        <color auto="1"/>
      </right>
      <top style="thin">
        <color auto="1"/>
      </top>
      <bottom/>
      <diagonal/>
    </border>
    <border>
      <left/>
      <right style="medium">
        <color indexed="64"/>
      </right>
      <top/>
      <bottom style="medium">
        <color indexed="64"/>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style="medium">
        <color indexed="64"/>
      </left>
      <right/>
      <top/>
      <bottom/>
      <diagonal/>
    </border>
    <border>
      <left style="medium">
        <color auto="1"/>
      </left>
      <right style="thin">
        <color auto="1"/>
      </right>
      <top/>
      <bottom style="thin">
        <color auto="1"/>
      </bottom>
      <diagonal/>
    </border>
    <border>
      <left style="medium">
        <color auto="1"/>
      </left>
      <right style="thin">
        <color auto="1"/>
      </right>
      <top/>
      <bottom style="medium">
        <color indexed="64"/>
      </bottom>
      <diagonal/>
    </border>
    <border>
      <left style="medium">
        <color auto="1"/>
      </left>
      <right style="thin">
        <color auto="1"/>
      </right>
      <top/>
      <bottom/>
      <diagonal/>
    </border>
    <border>
      <left/>
      <right style="medium">
        <color indexed="64"/>
      </right>
      <top/>
      <bottom style="thin">
        <color indexed="64"/>
      </bottom>
      <diagonal/>
    </border>
    <border>
      <left style="thin">
        <color indexed="64"/>
      </left>
      <right/>
      <top/>
      <bottom style="thin">
        <color indexed="64"/>
      </bottom>
      <diagonal/>
    </border>
    <border>
      <left style="thin">
        <color indexed="64"/>
      </left>
      <right/>
      <top/>
      <bottom style="medium">
        <color indexed="64"/>
      </bottom>
      <diagonal/>
    </border>
    <border>
      <left style="thin">
        <color indexed="64"/>
      </left>
      <right style="medium">
        <color indexed="64"/>
      </right>
      <top/>
      <bottom/>
      <diagonal/>
    </border>
    <border>
      <left/>
      <right/>
      <top/>
      <bottom style="medium">
        <color auto="1"/>
      </bottom>
      <diagonal/>
    </border>
    <border>
      <left/>
      <right style="medium">
        <color auto="1"/>
      </right>
      <top style="thin">
        <color auto="1"/>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diagonalUp="1" diagonalDown="1">
      <left style="thin">
        <color auto="1"/>
      </left>
      <right style="thin">
        <color auto="1"/>
      </right>
      <top style="thin">
        <color auto="1"/>
      </top>
      <bottom style="thin">
        <color auto="1"/>
      </bottom>
      <diagonal style="thin">
        <color auto="1"/>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style="medium">
        <color indexed="64"/>
      </right>
      <top style="medium">
        <color indexed="64"/>
      </top>
      <bottom style="medium">
        <color indexed="64"/>
      </bottom>
      <diagonal/>
    </border>
  </borders>
  <cellStyleXfs count="2">
    <xf numFmtId="0" fontId="0" fillId="0" borderId="0"/>
    <xf numFmtId="0" fontId="3" fillId="0" borderId="0"/>
  </cellStyleXfs>
  <cellXfs count="190">
    <xf numFmtId="0" fontId="0" fillId="0" borderId="0" xfId="0"/>
    <xf numFmtId="0" fontId="0" fillId="2" borderId="0" xfId="0" applyFill="1" applyProtection="1">
      <protection hidden="1"/>
    </xf>
    <xf numFmtId="0" fontId="8" fillId="2" borderId="0" xfId="0" applyFont="1" applyFill="1" applyProtection="1">
      <protection hidden="1"/>
    </xf>
    <xf numFmtId="2" fontId="6" fillId="2" borderId="1" xfId="0" applyNumberFormat="1" applyFont="1" applyFill="1" applyBorder="1" applyAlignment="1" applyProtection="1">
      <alignment vertical="top"/>
      <protection locked="0" hidden="1"/>
    </xf>
    <xf numFmtId="2" fontId="0" fillId="2" borderId="0" xfId="0" applyNumberFormat="1" applyFill="1" applyProtection="1">
      <protection hidden="1"/>
    </xf>
    <xf numFmtId="0" fontId="0" fillId="2" borderId="0" xfId="0" applyFill="1" applyAlignment="1" applyProtection="1">
      <alignment wrapText="1"/>
      <protection hidden="1"/>
    </xf>
    <xf numFmtId="0" fontId="1" fillId="3" borderId="11" xfId="0" applyFont="1" applyFill="1" applyBorder="1" applyAlignment="1" applyProtection="1">
      <alignment vertical="top" wrapText="1"/>
      <protection hidden="1"/>
    </xf>
    <xf numFmtId="0" fontId="4" fillId="3" borderId="10" xfId="0" applyFont="1" applyFill="1" applyBorder="1" applyAlignment="1" applyProtection="1">
      <alignment horizontal="center" vertical="top" wrapText="1"/>
      <protection hidden="1"/>
    </xf>
    <xf numFmtId="0" fontId="4" fillId="3" borderId="5" xfId="0" applyFont="1" applyFill="1" applyBorder="1" applyAlignment="1" applyProtection="1">
      <alignment horizontal="center" vertical="top"/>
      <protection hidden="1"/>
    </xf>
    <xf numFmtId="0" fontId="2" fillId="3" borderId="11" xfId="0" quotePrefix="1" applyFont="1" applyFill="1" applyBorder="1" applyAlignment="1" applyProtection="1">
      <alignment horizontal="left" vertical="top" wrapText="1" indent="2"/>
      <protection hidden="1"/>
    </xf>
    <xf numFmtId="2" fontId="2" fillId="3" borderId="10" xfId="0" applyNumberFormat="1" applyFont="1" applyFill="1" applyBorder="1" applyAlignment="1" applyProtection="1">
      <alignment vertical="top"/>
      <protection hidden="1"/>
    </xf>
    <xf numFmtId="0" fontId="2" fillId="3" borderId="5" xfId="0" applyFont="1" applyFill="1" applyBorder="1" applyAlignment="1" applyProtection="1">
      <alignment vertical="top"/>
      <protection hidden="1"/>
    </xf>
    <xf numFmtId="0" fontId="2" fillId="3" borderId="15" xfId="0" applyFont="1" applyFill="1" applyBorder="1" applyAlignment="1" applyProtection="1">
      <alignment vertical="top"/>
      <protection hidden="1"/>
    </xf>
    <xf numFmtId="2" fontId="2" fillId="3" borderId="10" xfId="0" applyNumberFormat="1" applyFont="1" applyFill="1" applyBorder="1" applyAlignment="1" applyProtection="1">
      <alignment horizontal="right" vertical="top" wrapText="1"/>
      <protection hidden="1"/>
    </xf>
    <xf numFmtId="0" fontId="2" fillId="3" borderId="14" xfId="0" quotePrefix="1" applyFont="1" applyFill="1" applyBorder="1" applyAlignment="1" applyProtection="1">
      <alignment horizontal="left" vertical="top" wrapText="1" indent="2"/>
      <protection hidden="1"/>
    </xf>
    <xf numFmtId="0" fontId="2" fillId="3" borderId="12" xfId="0" quotePrefix="1" applyFont="1" applyFill="1" applyBorder="1" applyAlignment="1" applyProtection="1">
      <alignment horizontal="left" vertical="top" wrapText="1" indent="2"/>
      <protection hidden="1"/>
    </xf>
    <xf numFmtId="0" fontId="4" fillId="3" borderId="14" xfId="0" quotePrefix="1" applyFont="1" applyFill="1" applyBorder="1" applyAlignment="1" applyProtection="1">
      <alignment horizontal="left" vertical="top" wrapText="1"/>
      <protection hidden="1"/>
    </xf>
    <xf numFmtId="0" fontId="4" fillId="3" borderId="5" xfId="0" applyFont="1" applyFill="1" applyBorder="1" applyProtection="1">
      <protection hidden="1"/>
    </xf>
    <xf numFmtId="0" fontId="2" fillId="3" borderId="7" xfId="0" applyFont="1" applyFill="1" applyBorder="1" applyAlignment="1" applyProtection="1">
      <alignment vertical="top"/>
      <protection hidden="1"/>
    </xf>
    <xf numFmtId="2" fontId="4" fillId="3" borderId="10" xfId="0" applyNumberFormat="1" applyFont="1" applyFill="1" applyBorder="1" applyProtection="1">
      <protection hidden="1"/>
    </xf>
    <xf numFmtId="0" fontId="4" fillId="3" borderId="6" xfId="0" quotePrefix="1" applyFont="1" applyFill="1" applyBorder="1" applyAlignment="1" applyProtection="1">
      <alignment horizontal="left" vertical="top" wrapText="1"/>
      <protection hidden="1"/>
    </xf>
    <xf numFmtId="2" fontId="6" fillId="3" borderId="8" xfId="0" applyNumberFormat="1" applyFont="1" applyFill="1" applyBorder="1" applyAlignment="1" applyProtection="1">
      <alignment vertical="top"/>
      <protection hidden="1"/>
    </xf>
    <xf numFmtId="0" fontId="2" fillId="3" borderId="20" xfId="0" applyFont="1" applyFill="1" applyBorder="1" applyAlignment="1" applyProtection="1">
      <alignment vertical="top"/>
      <protection hidden="1"/>
    </xf>
    <xf numFmtId="2" fontId="2" fillId="3" borderId="16" xfId="0" applyNumberFormat="1" applyFont="1" applyFill="1" applyBorder="1" applyAlignment="1" applyProtection="1">
      <alignment horizontal="right" vertical="top" wrapText="1"/>
      <protection hidden="1"/>
    </xf>
    <xf numFmtId="0" fontId="2" fillId="3" borderId="18" xfId="0" applyFont="1" applyFill="1" applyBorder="1" applyAlignment="1" applyProtection="1">
      <alignment vertical="top" wrapText="1"/>
      <protection hidden="1"/>
    </xf>
    <xf numFmtId="0" fontId="4" fillId="3" borderId="5" xfId="0" applyFont="1" applyFill="1" applyBorder="1" applyAlignment="1" applyProtection="1">
      <alignment vertical="top"/>
      <protection hidden="1"/>
    </xf>
    <xf numFmtId="2" fontId="4" fillId="3" borderId="10" xfId="0" applyNumberFormat="1" applyFont="1" applyFill="1" applyBorder="1" applyAlignment="1" applyProtection="1">
      <alignment vertical="top"/>
      <protection hidden="1"/>
    </xf>
    <xf numFmtId="0" fontId="5" fillId="4" borderId="19" xfId="0" applyFont="1" applyFill="1" applyBorder="1" applyAlignment="1" applyProtection="1">
      <alignment horizontal="center" vertical="top" wrapText="1"/>
      <protection hidden="1"/>
    </xf>
    <xf numFmtId="0" fontId="10" fillId="4" borderId="0" xfId="0" applyFont="1" applyFill="1" applyAlignment="1" applyProtection="1">
      <alignment horizontal="center" vertical="center" wrapText="1"/>
      <protection hidden="1"/>
    </xf>
    <xf numFmtId="0" fontId="11" fillId="4" borderId="0" xfId="0" applyFont="1" applyFill="1" applyAlignment="1" applyProtection="1">
      <alignment horizontal="right"/>
      <protection hidden="1"/>
    </xf>
    <xf numFmtId="0" fontId="0" fillId="4" borderId="21" xfId="0" applyFill="1" applyBorder="1" applyProtection="1">
      <protection hidden="1"/>
    </xf>
    <xf numFmtId="0" fontId="0" fillId="4" borderId="23" xfId="0" applyFill="1" applyBorder="1" applyProtection="1">
      <protection hidden="1"/>
    </xf>
    <xf numFmtId="0" fontId="0" fillId="4" borderId="11" xfId="0" applyFill="1" applyBorder="1" applyProtection="1">
      <protection hidden="1"/>
    </xf>
    <xf numFmtId="0" fontId="0" fillId="4" borderId="5" xfId="0" applyFill="1" applyBorder="1" applyProtection="1">
      <protection hidden="1"/>
    </xf>
    <xf numFmtId="0" fontId="0" fillId="4" borderId="24" xfId="0" applyFill="1" applyBorder="1" applyProtection="1">
      <protection hidden="1"/>
    </xf>
    <xf numFmtId="0" fontId="0" fillId="4" borderId="19" xfId="0" applyFill="1" applyBorder="1" applyAlignment="1" applyProtection="1">
      <alignment wrapText="1"/>
      <protection hidden="1"/>
    </xf>
    <xf numFmtId="0" fontId="0" fillId="4" borderId="19" xfId="0" applyFill="1" applyBorder="1" applyProtection="1">
      <protection hidden="1"/>
    </xf>
    <xf numFmtId="0" fontId="0" fillId="4" borderId="7" xfId="0" applyFill="1" applyBorder="1" applyProtection="1">
      <protection hidden="1"/>
    </xf>
    <xf numFmtId="0" fontId="0" fillId="2" borderId="0" xfId="0" applyFill="1" applyAlignment="1" applyProtection="1">
      <alignment vertical="top" wrapText="1"/>
      <protection hidden="1"/>
    </xf>
    <xf numFmtId="0" fontId="13" fillId="4" borderId="0" xfId="0" applyFont="1" applyFill="1" applyAlignment="1" applyProtection="1">
      <alignment horizontal="left"/>
      <protection hidden="1"/>
    </xf>
    <xf numFmtId="0" fontId="13" fillId="4" borderId="0" xfId="0" applyFont="1" applyFill="1" applyAlignment="1" applyProtection="1">
      <alignment horizontal="right"/>
      <protection hidden="1"/>
    </xf>
    <xf numFmtId="0" fontId="0" fillId="2" borderId="0" xfId="0" applyFill="1" applyAlignment="1" applyProtection="1">
      <alignment vertical="top"/>
      <protection hidden="1"/>
    </xf>
    <xf numFmtId="0" fontId="0" fillId="2" borderId="8" xfId="0" applyFill="1" applyBorder="1" applyAlignment="1" applyProtection="1">
      <alignment vertical="top"/>
      <protection hidden="1"/>
    </xf>
    <xf numFmtId="0" fontId="0" fillId="2" borderId="29" xfId="0" applyFill="1" applyBorder="1" applyAlignment="1" applyProtection="1">
      <alignment vertical="top"/>
      <protection hidden="1"/>
    </xf>
    <xf numFmtId="0" fontId="0" fillId="2" borderId="10" xfId="0" applyFill="1" applyBorder="1" applyAlignment="1" applyProtection="1">
      <alignment vertical="top"/>
      <protection hidden="1"/>
    </xf>
    <xf numFmtId="0" fontId="0" fillId="2" borderId="30" xfId="0" applyFill="1" applyBorder="1" applyAlignment="1" applyProtection="1">
      <alignment vertical="top"/>
      <protection hidden="1"/>
    </xf>
    <xf numFmtId="0" fontId="0" fillId="2" borderId="16" xfId="0" applyFill="1" applyBorder="1" applyAlignment="1" applyProtection="1">
      <alignment vertical="top"/>
      <protection hidden="1"/>
    </xf>
    <xf numFmtId="0" fontId="0" fillId="2" borderId="32" xfId="0" applyFill="1" applyBorder="1" applyAlignment="1" applyProtection="1">
      <alignment vertical="top"/>
      <protection hidden="1"/>
    </xf>
    <xf numFmtId="0" fontId="8" fillId="2" borderId="0" xfId="0" applyFont="1" applyFill="1" applyAlignment="1" applyProtection="1">
      <alignment vertical="top"/>
      <protection hidden="1"/>
    </xf>
    <xf numFmtId="4" fontId="0" fillId="2" borderId="0" xfId="0" applyNumberFormat="1" applyFill="1" applyAlignment="1" applyProtection="1">
      <alignment vertical="top"/>
      <protection hidden="1"/>
    </xf>
    <xf numFmtId="0" fontId="9" fillId="2" borderId="0" xfId="0" applyFont="1" applyFill="1" applyAlignment="1" applyProtection="1">
      <alignment vertical="top"/>
      <protection hidden="1"/>
    </xf>
    <xf numFmtId="2" fontId="0" fillId="2" borderId="0" xfId="0" applyNumberFormat="1" applyFill="1" applyAlignment="1" applyProtection="1">
      <alignment vertical="top"/>
      <protection hidden="1"/>
    </xf>
    <xf numFmtId="0" fontId="0" fillId="6" borderId="0" xfId="0" applyFill="1" applyProtection="1">
      <protection hidden="1"/>
    </xf>
    <xf numFmtId="0" fontId="0" fillId="2" borderId="34" xfId="0" applyFill="1" applyBorder="1" applyAlignment="1" applyProtection="1">
      <alignment vertical="top"/>
      <protection hidden="1"/>
    </xf>
    <xf numFmtId="0" fontId="0" fillId="2" borderId="35" xfId="0" applyFill="1" applyBorder="1" applyAlignment="1" applyProtection="1">
      <alignment vertical="top"/>
      <protection hidden="1"/>
    </xf>
    <xf numFmtId="0" fontId="0" fillId="2" borderId="9" xfId="0" applyFill="1" applyBorder="1" applyAlignment="1" applyProtection="1">
      <alignment vertical="top"/>
      <protection hidden="1"/>
    </xf>
    <xf numFmtId="0" fontId="0" fillId="2" borderId="29" xfId="0" applyFill="1" applyBorder="1" applyProtection="1">
      <protection hidden="1"/>
    </xf>
    <xf numFmtId="0" fontId="0" fillId="2" borderId="32" xfId="0" applyFill="1" applyBorder="1" applyProtection="1">
      <protection hidden="1"/>
    </xf>
    <xf numFmtId="0" fontId="1" fillId="2" borderId="8" xfId="0" applyFont="1" applyFill="1" applyBorder="1" applyAlignment="1" applyProtection="1">
      <alignment horizontal="center"/>
      <protection hidden="1"/>
    </xf>
    <xf numFmtId="0" fontId="1" fillId="2" borderId="28" xfId="0" applyFont="1" applyFill="1" applyBorder="1" applyAlignment="1" applyProtection="1">
      <alignment horizontal="center"/>
      <protection hidden="1"/>
    </xf>
    <xf numFmtId="0" fontId="1" fillId="2" borderId="29" xfId="0" applyFont="1" applyFill="1" applyBorder="1" applyAlignment="1" applyProtection="1">
      <alignment horizontal="center"/>
      <protection hidden="1"/>
    </xf>
    <xf numFmtId="0" fontId="0" fillId="2" borderId="10" xfId="0" applyFill="1" applyBorder="1" applyAlignment="1" applyProtection="1">
      <alignment vertical="center"/>
      <protection hidden="1"/>
    </xf>
    <xf numFmtId="0" fontId="0" fillId="2" borderId="0" xfId="0" quotePrefix="1" applyFill="1" applyAlignment="1" applyProtection="1">
      <alignment vertical="center"/>
      <protection hidden="1"/>
    </xf>
    <xf numFmtId="0" fontId="0" fillId="2" borderId="30" xfId="0" quotePrefix="1" applyFill="1" applyBorder="1" applyAlignment="1" applyProtection="1">
      <alignment vertical="center"/>
      <protection hidden="1"/>
    </xf>
    <xf numFmtId="0" fontId="0" fillId="2" borderId="10" xfId="0" applyFill="1" applyBorder="1" applyProtection="1">
      <protection hidden="1"/>
    </xf>
    <xf numFmtId="0" fontId="0" fillId="2" borderId="30" xfId="0" applyFill="1" applyBorder="1" applyProtection="1">
      <protection hidden="1"/>
    </xf>
    <xf numFmtId="0" fontId="0" fillId="2" borderId="10" xfId="0" applyFill="1" applyBorder="1" applyAlignment="1" applyProtection="1">
      <alignment horizontal="left" vertical="center"/>
      <protection hidden="1"/>
    </xf>
    <xf numFmtId="0" fontId="0" fillId="2" borderId="0" xfId="0" applyFill="1" applyAlignment="1" applyProtection="1">
      <alignment horizontal="left" vertical="center"/>
      <protection hidden="1"/>
    </xf>
    <xf numFmtId="0" fontId="0" fillId="2" borderId="30" xfId="0" applyFill="1" applyBorder="1" applyAlignment="1" applyProtection="1">
      <alignment horizontal="left" vertical="center"/>
      <protection hidden="1"/>
    </xf>
    <xf numFmtId="0" fontId="0" fillId="2" borderId="16" xfId="0" applyFill="1" applyBorder="1" applyProtection="1">
      <protection hidden="1"/>
    </xf>
    <xf numFmtId="0" fontId="0" fillId="2" borderId="31" xfId="0" applyFill="1" applyBorder="1" applyProtection="1">
      <protection hidden="1"/>
    </xf>
    <xf numFmtId="0" fontId="0" fillId="2" borderId="29" xfId="0" applyFill="1" applyBorder="1" applyAlignment="1" applyProtection="1">
      <alignment horizontal="center" vertical="top"/>
      <protection hidden="1"/>
    </xf>
    <xf numFmtId="0" fontId="0" fillId="2" borderId="30" xfId="0" applyFill="1" applyBorder="1" applyAlignment="1" applyProtection="1">
      <alignment horizontal="center" vertical="top"/>
      <protection hidden="1"/>
    </xf>
    <xf numFmtId="0" fontId="0" fillId="2" borderId="32" xfId="0" applyFill="1" applyBorder="1" applyAlignment="1" applyProtection="1">
      <alignment horizontal="center" vertical="top"/>
      <protection hidden="1"/>
    </xf>
    <xf numFmtId="0" fontId="0" fillId="3" borderId="21" xfId="0" applyFill="1" applyBorder="1" applyProtection="1">
      <protection hidden="1"/>
    </xf>
    <xf numFmtId="0" fontId="0" fillId="3" borderId="22" xfId="0" applyFill="1" applyBorder="1" applyAlignment="1" applyProtection="1">
      <alignment wrapText="1"/>
      <protection hidden="1"/>
    </xf>
    <xf numFmtId="0" fontId="0" fillId="3" borderId="22" xfId="0" applyFill="1" applyBorder="1" applyProtection="1">
      <protection hidden="1"/>
    </xf>
    <xf numFmtId="0" fontId="0" fillId="3" borderId="23" xfId="0" applyFill="1" applyBorder="1" applyProtection="1">
      <protection hidden="1"/>
    </xf>
    <xf numFmtId="0" fontId="0" fillId="3" borderId="11" xfId="0" applyFill="1" applyBorder="1" applyProtection="1">
      <protection hidden="1"/>
    </xf>
    <xf numFmtId="0" fontId="0" fillId="3" borderId="0" xfId="0" applyFill="1" applyProtection="1">
      <protection hidden="1"/>
    </xf>
    <xf numFmtId="0" fontId="0" fillId="3" borderId="5" xfId="0" applyFill="1" applyBorder="1" applyProtection="1">
      <protection hidden="1"/>
    </xf>
    <xf numFmtId="0" fontId="0" fillId="3" borderId="24" xfId="0" applyFill="1" applyBorder="1" applyProtection="1">
      <protection hidden="1"/>
    </xf>
    <xf numFmtId="0" fontId="0" fillId="3" borderId="19" xfId="0" applyFill="1" applyBorder="1" applyAlignment="1" applyProtection="1">
      <alignment wrapText="1"/>
      <protection hidden="1"/>
    </xf>
    <xf numFmtId="0" fontId="0" fillId="3" borderId="19" xfId="0" applyFill="1" applyBorder="1" applyProtection="1">
      <protection hidden="1"/>
    </xf>
    <xf numFmtId="0" fontId="0" fillId="3" borderId="7" xfId="0" applyFill="1" applyBorder="1" applyProtection="1">
      <protection hidden="1"/>
    </xf>
    <xf numFmtId="0" fontId="0" fillId="2" borderId="8" xfId="0" applyFill="1" applyBorder="1" applyProtection="1">
      <protection hidden="1"/>
    </xf>
    <xf numFmtId="0" fontId="0" fillId="2" borderId="0" xfId="0" quotePrefix="1" applyFill="1" applyAlignment="1" applyProtection="1">
      <alignment horizontal="left" vertical="center"/>
      <protection hidden="1"/>
    </xf>
    <xf numFmtId="0" fontId="18" fillId="3" borderId="0" xfId="0" applyFont="1" applyFill="1" applyAlignment="1" applyProtection="1">
      <alignment vertical="center"/>
      <protection hidden="1"/>
    </xf>
    <xf numFmtId="0" fontId="0" fillId="2" borderId="25" xfId="0" applyFill="1" applyBorder="1" applyAlignment="1" applyProtection="1">
      <alignment vertical="top"/>
      <protection hidden="1"/>
    </xf>
    <xf numFmtId="0" fontId="0" fillId="2" borderId="26" xfId="0" applyFill="1" applyBorder="1" applyAlignment="1" applyProtection="1">
      <alignment vertical="top"/>
      <protection hidden="1"/>
    </xf>
    <xf numFmtId="4" fontId="0" fillId="2" borderId="26" xfId="0" applyNumberFormat="1" applyFill="1" applyBorder="1" applyAlignment="1" applyProtection="1">
      <alignment vertical="top"/>
      <protection hidden="1"/>
    </xf>
    <xf numFmtId="0" fontId="0" fillId="2" borderId="27" xfId="0" applyFill="1" applyBorder="1" applyAlignment="1" applyProtection="1">
      <alignment vertical="top"/>
      <protection hidden="1"/>
    </xf>
    <xf numFmtId="0" fontId="0" fillId="2" borderId="27" xfId="0" applyFill="1" applyBorder="1" applyProtection="1">
      <protection hidden="1"/>
    </xf>
    <xf numFmtId="0" fontId="1" fillId="2" borderId="0" xfId="0" applyFont="1" applyFill="1" applyProtection="1">
      <protection hidden="1"/>
    </xf>
    <xf numFmtId="0" fontId="14" fillId="2" borderId="0" xfId="0" applyFont="1" applyFill="1" applyAlignment="1" applyProtection="1">
      <alignment wrapText="1"/>
      <protection hidden="1"/>
    </xf>
    <xf numFmtId="0" fontId="0" fillId="2" borderId="29" xfId="0" applyFill="1" applyBorder="1" applyAlignment="1" applyProtection="1">
      <alignment horizontal="left" vertical="top"/>
      <protection hidden="1"/>
    </xf>
    <xf numFmtId="0" fontId="0" fillId="2" borderId="30" xfId="0" applyFill="1" applyBorder="1" applyAlignment="1" applyProtection="1">
      <alignment horizontal="left" vertical="top"/>
      <protection hidden="1"/>
    </xf>
    <xf numFmtId="0" fontId="0" fillId="2" borderId="30" xfId="0" quotePrefix="1" applyFill="1" applyBorder="1" applyAlignment="1" applyProtection="1">
      <alignment vertical="top"/>
      <protection hidden="1"/>
    </xf>
    <xf numFmtId="0" fontId="0" fillId="2" borderId="32" xfId="0" quotePrefix="1" applyFill="1" applyBorder="1" applyAlignment="1" applyProtection="1">
      <alignment vertical="top"/>
      <protection hidden="1"/>
    </xf>
    <xf numFmtId="0" fontId="19" fillId="2" borderId="1" xfId="0" applyFont="1" applyFill="1" applyBorder="1" applyAlignment="1" applyProtection="1">
      <alignment vertical="top"/>
      <protection hidden="1"/>
    </xf>
    <xf numFmtId="0" fontId="19" fillId="5" borderId="1" xfId="0" applyFont="1" applyFill="1" applyBorder="1" applyAlignment="1" applyProtection="1">
      <alignment vertical="top"/>
      <protection hidden="1"/>
    </xf>
    <xf numFmtId="0" fontId="19" fillId="0" borderId="33" xfId="0" applyFont="1" applyBorder="1" applyAlignment="1" applyProtection="1">
      <alignment vertical="top"/>
      <protection hidden="1"/>
    </xf>
    <xf numFmtId="0" fontId="19" fillId="2" borderId="0" xfId="0" applyFont="1" applyFill="1" applyAlignment="1" applyProtection="1">
      <alignment vertical="top"/>
      <protection hidden="1"/>
    </xf>
    <xf numFmtId="2" fontId="19" fillId="2" borderId="0" xfId="0" applyNumberFormat="1" applyFont="1" applyFill="1" applyAlignment="1" applyProtection="1">
      <alignment vertical="top"/>
      <protection hidden="1"/>
    </xf>
    <xf numFmtId="0" fontId="1" fillId="2" borderId="10" xfId="0" applyFont="1" applyFill="1" applyBorder="1" applyAlignment="1" applyProtection="1">
      <alignment vertical="top"/>
      <protection hidden="1"/>
    </xf>
    <xf numFmtId="0" fontId="1" fillId="2" borderId="8" xfId="0" applyFont="1" applyFill="1" applyBorder="1" applyAlignment="1" applyProtection="1">
      <alignment vertical="top"/>
      <protection hidden="1"/>
    </xf>
    <xf numFmtId="0" fontId="1" fillId="2" borderId="0" xfId="0" applyFont="1" applyFill="1" applyAlignment="1" applyProtection="1">
      <alignment vertical="top"/>
      <protection hidden="1"/>
    </xf>
    <xf numFmtId="0" fontId="19" fillId="5" borderId="0" xfId="0" applyFont="1" applyFill="1" applyAlignment="1" applyProtection="1">
      <alignment vertical="top"/>
      <protection hidden="1"/>
    </xf>
    <xf numFmtId="0" fontId="0" fillId="2" borderId="34" xfId="0" applyFill="1" applyBorder="1" applyAlignment="1" applyProtection="1">
      <alignment vertical="top" wrapText="1"/>
      <protection hidden="1"/>
    </xf>
    <xf numFmtId="0" fontId="0" fillId="2" borderId="1" xfId="0" applyFill="1" applyBorder="1" applyAlignment="1" applyProtection="1">
      <alignment vertical="top"/>
      <protection hidden="1"/>
    </xf>
    <xf numFmtId="0" fontId="0" fillId="2" borderId="32" xfId="0" applyFill="1" applyBorder="1" applyAlignment="1" applyProtection="1">
      <alignment horizontal="left" vertical="top"/>
      <protection hidden="1"/>
    </xf>
    <xf numFmtId="0" fontId="0" fillId="2" borderId="9" xfId="0" applyFill="1" applyBorder="1" applyAlignment="1" applyProtection="1">
      <alignment horizontal="center" vertical="top"/>
      <protection hidden="1"/>
    </xf>
    <xf numFmtId="0" fontId="0" fillId="2" borderId="1" xfId="0" applyFill="1" applyBorder="1" applyProtection="1">
      <protection hidden="1"/>
    </xf>
    <xf numFmtId="0" fontId="19" fillId="2" borderId="34" xfId="0" applyFont="1" applyFill="1" applyBorder="1" applyAlignment="1" applyProtection="1">
      <alignment vertical="top"/>
      <protection hidden="1"/>
    </xf>
    <xf numFmtId="0" fontId="19" fillId="2" borderId="9" xfId="0" applyFont="1" applyFill="1" applyBorder="1" applyAlignment="1" applyProtection="1">
      <alignment vertical="top"/>
      <protection hidden="1"/>
    </xf>
    <xf numFmtId="0" fontId="1" fillId="2" borderId="29" xfId="0" applyFont="1" applyFill="1" applyBorder="1" applyAlignment="1" applyProtection="1">
      <alignment vertical="top"/>
      <protection hidden="1"/>
    </xf>
    <xf numFmtId="0" fontId="20" fillId="5" borderId="0" xfId="0" applyFont="1" applyFill="1" applyAlignment="1" applyProtection="1">
      <alignment vertical="top"/>
      <protection hidden="1"/>
    </xf>
    <xf numFmtId="0" fontId="21" fillId="2" borderId="0" xfId="0" applyFont="1" applyFill="1" applyAlignment="1" applyProtection="1">
      <alignment horizontal="center" vertical="top" wrapText="1"/>
      <protection hidden="1"/>
    </xf>
    <xf numFmtId="0" fontId="21" fillId="5" borderId="0" xfId="0" applyFont="1" applyFill="1" applyAlignment="1" applyProtection="1">
      <alignment horizontal="center" vertical="top" wrapText="1"/>
      <protection hidden="1"/>
    </xf>
    <xf numFmtId="0" fontId="21" fillId="2" borderId="0" xfId="0" applyFont="1" applyFill="1" applyAlignment="1" applyProtection="1">
      <alignment vertical="top" wrapText="1"/>
      <protection hidden="1"/>
    </xf>
    <xf numFmtId="0" fontId="20" fillId="2" borderId="0" xfId="0" applyFont="1" applyFill="1" applyAlignment="1" applyProtection="1">
      <alignment vertical="top" wrapText="1"/>
      <protection hidden="1"/>
    </xf>
    <xf numFmtId="0" fontId="20" fillId="2" borderId="0" xfId="0" applyFont="1" applyFill="1" applyAlignment="1" applyProtection="1">
      <alignment vertical="top"/>
      <protection hidden="1"/>
    </xf>
    <xf numFmtId="0" fontId="20" fillId="5" borderId="0" xfId="0" applyFont="1" applyFill="1" applyAlignment="1" applyProtection="1">
      <alignment vertical="top" wrapText="1"/>
      <protection hidden="1"/>
    </xf>
    <xf numFmtId="0" fontId="15" fillId="2" borderId="36" xfId="0" applyFont="1" applyFill="1" applyBorder="1" applyAlignment="1" applyProtection="1">
      <alignment horizontal="center" vertical="center" wrapText="1"/>
      <protection locked="0" hidden="1"/>
    </xf>
    <xf numFmtId="4" fontId="22" fillId="5" borderId="1" xfId="0" applyNumberFormat="1" applyFont="1" applyFill="1" applyBorder="1" applyAlignment="1" applyProtection="1">
      <alignment vertical="top"/>
      <protection hidden="1"/>
    </xf>
    <xf numFmtId="0" fontId="22" fillId="5" borderId="1" xfId="0" applyFont="1" applyFill="1" applyBorder="1" applyAlignment="1" applyProtection="1">
      <alignment vertical="top"/>
      <protection hidden="1"/>
    </xf>
    <xf numFmtId="0" fontId="0" fillId="2" borderId="25" xfId="0" applyFill="1" applyBorder="1" applyProtection="1">
      <protection hidden="1"/>
    </xf>
    <xf numFmtId="0" fontId="23" fillId="4" borderId="5" xfId="0" applyFont="1" applyFill="1" applyBorder="1" applyProtection="1">
      <protection hidden="1"/>
    </xf>
    <xf numFmtId="0" fontId="0" fillId="9" borderId="0" xfId="0" applyFill="1" applyProtection="1">
      <protection hidden="1"/>
    </xf>
    <xf numFmtId="2" fontId="0" fillId="3" borderId="10" xfId="0" applyNumberFormat="1" applyFill="1" applyBorder="1" applyAlignment="1" applyProtection="1">
      <alignment vertical="top"/>
      <protection hidden="1"/>
    </xf>
    <xf numFmtId="0" fontId="0" fillId="2" borderId="0" xfId="0" quotePrefix="1" applyFill="1" applyAlignment="1" applyProtection="1">
      <alignment vertical="top" wrapText="1"/>
      <protection hidden="1"/>
    </xf>
    <xf numFmtId="0" fontId="24" fillId="2" borderId="0" xfId="0" applyFont="1" applyFill="1" applyAlignment="1" applyProtection="1">
      <alignment vertical="top"/>
      <protection hidden="1"/>
    </xf>
    <xf numFmtId="0" fontId="25" fillId="2" borderId="26" xfId="0" applyFont="1" applyFill="1" applyBorder="1" applyAlignment="1" applyProtection="1">
      <alignment vertical="top"/>
      <protection hidden="1"/>
    </xf>
    <xf numFmtId="0" fontId="26" fillId="2" borderId="0" xfId="0" applyFont="1" applyFill="1" applyAlignment="1" applyProtection="1">
      <alignment vertical="top"/>
      <protection hidden="1"/>
    </xf>
    <xf numFmtId="0" fontId="0" fillId="2" borderId="0" xfId="0" applyFill="1" applyAlignment="1" applyProtection="1">
      <alignment horizontal="right" vertical="top"/>
      <protection hidden="1"/>
    </xf>
    <xf numFmtId="0" fontId="22" fillId="2" borderId="0" xfId="0" applyFont="1" applyFill="1" applyAlignment="1" applyProtection="1">
      <alignment vertical="top"/>
      <protection hidden="1"/>
    </xf>
    <xf numFmtId="0" fontId="20" fillId="2" borderId="0" xfId="0" applyFont="1" applyFill="1" applyProtection="1">
      <protection hidden="1"/>
    </xf>
    <xf numFmtId="0" fontId="20" fillId="8" borderId="0" xfId="0" applyFont="1" applyFill="1" applyAlignment="1" applyProtection="1">
      <alignment vertical="top"/>
      <protection hidden="1"/>
    </xf>
    <xf numFmtId="0" fontId="0" fillId="2" borderId="28" xfId="0" applyFill="1" applyBorder="1" applyAlignment="1" applyProtection="1">
      <alignment vertical="top"/>
      <protection hidden="1"/>
    </xf>
    <xf numFmtId="0" fontId="0" fillId="2" borderId="31" xfId="0" applyFill="1" applyBorder="1" applyAlignment="1" applyProtection="1">
      <alignment vertical="top"/>
      <protection hidden="1"/>
    </xf>
    <xf numFmtId="0" fontId="0" fillId="2" borderId="28" xfId="0" applyFill="1" applyBorder="1" applyProtection="1">
      <protection hidden="1"/>
    </xf>
    <xf numFmtId="0" fontId="0" fillId="7" borderId="0" xfId="0" applyFill="1" applyProtection="1">
      <protection hidden="1"/>
    </xf>
    <xf numFmtId="0" fontId="0" fillId="7" borderId="30" xfId="0" applyFill="1" applyBorder="1" applyProtection="1">
      <protection hidden="1"/>
    </xf>
    <xf numFmtId="4" fontId="0" fillId="2" borderId="30" xfId="0" applyNumberFormat="1" applyFill="1" applyBorder="1" applyProtection="1">
      <protection hidden="1"/>
    </xf>
    <xf numFmtId="4" fontId="0" fillId="2" borderId="32" xfId="0" applyNumberFormat="1" applyFill="1" applyBorder="1" applyProtection="1">
      <protection hidden="1"/>
    </xf>
    <xf numFmtId="4" fontId="0" fillId="2" borderId="29" xfId="0" applyNumberFormat="1" applyFill="1" applyBorder="1" applyAlignment="1" applyProtection="1">
      <alignment vertical="top"/>
      <protection hidden="1"/>
    </xf>
    <xf numFmtId="0" fontId="0" fillId="7" borderId="0" xfId="0" applyFill="1" applyAlignment="1" applyProtection="1">
      <alignment vertical="top"/>
      <protection hidden="1"/>
    </xf>
    <xf numFmtId="4" fontId="0" fillId="7" borderId="30" xfId="0" applyNumberFormat="1" applyFill="1" applyBorder="1" applyAlignment="1" applyProtection="1">
      <alignment vertical="top"/>
      <protection hidden="1"/>
    </xf>
    <xf numFmtId="4" fontId="0" fillId="2" borderId="30" xfId="0" applyNumberFormat="1" applyFill="1" applyBorder="1" applyAlignment="1" applyProtection="1">
      <alignment vertical="top"/>
      <protection hidden="1"/>
    </xf>
    <xf numFmtId="0" fontId="0" fillId="10" borderId="10" xfId="0" applyFill="1" applyBorder="1" applyAlignment="1" applyProtection="1">
      <alignment vertical="top"/>
      <protection hidden="1"/>
    </xf>
    <xf numFmtId="0" fontId="0" fillId="10" borderId="0" xfId="0" applyFill="1" applyAlignment="1" applyProtection="1">
      <alignment vertical="top"/>
      <protection hidden="1"/>
    </xf>
    <xf numFmtId="4" fontId="0" fillId="10" borderId="30" xfId="0" applyNumberFormat="1" applyFill="1" applyBorder="1" applyAlignment="1" applyProtection="1">
      <alignment vertical="top"/>
      <protection hidden="1"/>
    </xf>
    <xf numFmtId="4" fontId="0" fillId="10" borderId="32" xfId="0" applyNumberFormat="1" applyFill="1" applyBorder="1" applyAlignment="1" applyProtection="1">
      <alignment vertical="top"/>
      <protection hidden="1"/>
    </xf>
    <xf numFmtId="0" fontId="0" fillId="7" borderId="28" xfId="0" applyFill="1" applyBorder="1" applyProtection="1">
      <protection hidden="1"/>
    </xf>
    <xf numFmtId="0" fontId="0" fillId="7" borderId="29" xfId="0" applyFill="1" applyBorder="1" applyProtection="1">
      <protection hidden="1"/>
    </xf>
    <xf numFmtId="0" fontId="0" fillId="7" borderId="30" xfId="0" applyFill="1" applyBorder="1" applyAlignment="1" applyProtection="1">
      <alignment vertical="top"/>
      <protection hidden="1"/>
    </xf>
    <xf numFmtId="0" fontId="0" fillId="7" borderId="31" xfId="0" applyFill="1" applyBorder="1" applyAlignment="1" applyProtection="1">
      <alignment vertical="top"/>
      <protection hidden="1"/>
    </xf>
    <xf numFmtId="0" fontId="0" fillId="7" borderId="32" xfId="0" applyFill="1" applyBorder="1" applyAlignment="1" applyProtection="1">
      <alignment vertical="top"/>
      <protection hidden="1"/>
    </xf>
    <xf numFmtId="0" fontId="0" fillId="7" borderId="31" xfId="0" applyFill="1" applyBorder="1" applyProtection="1">
      <protection hidden="1"/>
    </xf>
    <xf numFmtId="0" fontId="0" fillId="7" borderId="32" xfId="0" applyFill="1" applyBorder="1" applyProtection="1">
      <protection hidden="1"/>
    </xf>
    <xf numFmtId="4" fontId="0" fillId="11" borderId="30" xfId="0" applyNumberFormat="1" applyFill="1" applyBorder="1" applyAlignment="1" applyProtection="1">
      <alignment vertical="top"/>
      <protection hidden="1"/>
    </xf>
    <xf numFmtId="0" fontId="0" fillId="11" borderId="27" xfId="0" applyFill="1" applyBorder="1" applyProtection="1">
      <protection hidden="1"/>
    </xf>
    <xf numFmtId="2" fontId="27" fillId="3" borderId="10" xfId="0" applyNumberFormat="1" applyFont="1" applyFill="1" applyBorder="1" applyAlignment="1" applyProtection="1">
      <alignment vertical="top"/>
      <protection hidden="1"/>
    </xf>
    <xf numFmtId="0" fontId="27" fillId="3" borderId="10" xfId="0" quotePrefix="1" applyFont="1" applyFill="1" applyBorder="1" applyAlignment="1" applyProtection="1">
      <alignment vertical="top"/>
      <protection hidden="1"/>
    </xf>
    <xf numFmtId="0" fontId="27" fillId="3" borderId="17" xfId="0" quotePrefix="1" applyFont="1" applyFill="1" applyBorder="1" applyAlignment="1" applyProtection="1">
      <alignment vertical="top"/>
      <protection hidden="1"/>
    </xf>
    <xf numFmtId="0" fontId="0" fillId="2" borderId="0" xfId="0" quotePrefix="1" applyFill="1" applyAlignment="1" applyProtection="1">
      <alignment wrapText="1"/>
      <protection hidden="1"/>
    </xf>
    <xf numFmtId="0" fontId="1" fillId="9" borderId="0" xfId="0" applyFont="1" applyFill="1" applyAlignment="1" applyProtection="1">
      <alignment vertical="top"/>
      <protection hidden="1"/>
    </xf>
    <xf numFmtId="0" fontId="1" fillId="9" borderId="0" xfId="0" applyFont="1" applyFill="1" applyProtection="1">
      <protection hidden="1"/>
    </xf>
    <xf numFmtId="0" fontId="1" fillId="9" borderId="0" xfId="0" quotePrefix="1" applyFont="1" applyFill="1" applyProtection="1">
      <protection hidden="1"/>
    </xf>
    <xf numFmtId="0" fontId="28" fillId="2" borderId="0" xfId="0" applyFont="1" applyFill="1" applyProtection="1">
      <protection locked="0"/>
    </xf>
    <xf numFmtId="0" fontId="28" fillId="2" borderId="0" xfId="0" applyFont="1" applyFill="1" applyProtection="1">
      <protection locked="0" hidden="1"/>
    </xf>
    <xf numFmtId="0" fontId="28" fillId="2" borderId="0" xfId="0" applyFont="1" applyFill="1" applyProtection="1">
      <protection hidden="1"/>
    </xf>
    <xf numFmtId="4" fontId="28" fillId="2" borderId="0" xfId="0" applyNumberFormat="1" applyFont="1" applyFill="1" applyProtection="1">
      <protection locked="0"/>
    </xf>
    <xf numFmtId="2" fontId="28" fillId="2" borderId="0" xfId="0" applyNumberFormat="1" applyFont="1" applyFill="1" applyProtection="1">
      <protection locked="0"/>
    </xf>
    <xf numFmtId="0" fontId="28" fillId="2" borderId="0" xfId="0" quotePrefix="1" applyFont="1" applyFill="1" applyProtection="1">
      <protection locked="0"/>
    </xf>
    <xf numFmtId="0" fontId="29" fillId="2" borderId="0" xfId="0" applyFont="1" applyFill="1" applyProtection="1">
      <protection locked="0"/>
    </xf>
    <xf numFmtId="0" fontId="0" fillId="2" borderId="0" xfId="0" quotePrefix="1" applyFill="1" applyProtection="1">
      <protection hidden="1"/>
    </xf>
    <xf numFmtId="0" fontId="14" fillId="2" borderId="0" xfId="0" applyFont="1" applyFill="1" applyProtection="1">
      <protection hidden="1"/>
    </xf>
    <xf numFmtId="0" fontId="2" fillId="3" borderId="14" xfId="0" applyFont="1" applyFill="1" applyBorder="1" applyAlignment="1" applyProtection="1">
      <alignment horizontal="left" vertical="center" wrapText="1" indent="2"/>
      <protection hidden="1"/>
    </xf>
    <xf numFmtId="0" fontId="2" fillId="3" borderId="13" xfId="0" applyFont="1" applyFill="1" applyBorder="1" applyAlignment="1" applyProtection="1">
      <alignment horizontal="left" vertical="center" wrapText="1" indent="2"/>
      <protection hidden="1"/>
    </xf>
    <xf numFmtId="0" fontId="12" fillId="4" borderId="22" xfId="0" applyFont="1" applyFill="1" applyBorder="1" applyAlignment="1" applyProtection="1">
      <alignment horizontal="center" vertical="center" wrapText="1"/>
      <protection hidden="1"/>
    </xf>
    <xf numFmtId="0" fontId="17" fillId="4" borderId="0" xfId="0" applyFont="1" applyFill="1" applyAlignment="1" applyProtection="1">
      <alignment horizontal="center" vertical="top" wrapText="1"/>
      <protection hidden="1"/>
    </xf>
    <xf numFmtId="0" fontId="1" fillId="3" borderId="0" xfId="0" applyFont="1" applyFill="1" applyAlignment="1" applyProtection="1">
      <alignment horizontal="left" vertical="center" wrapText="1"/>
      <protection hidden="1"/>
    </xf>
    <xf numFmtId="0" fontId="11" fillId="4" borderId="2" xfId="0" applyFont="1" applyFill="1" applyBorder="1" applyAlignment="1" applyProtection="1">
      <alignment horizontal="left" vertical="top" wrapText="1"/>
      <protection hidden="1"/>
    </xf>
    <xf numFmtId="0" fontId="11" fillId="4" borderId="3" xfId="0" applyFont="1" applyFill="1" applyBorder="1" applyAlignment="1" applyProtection="1">
      <alignment horizontal="left" vertical="top" wrapText="1"/>
      <protection hidden="1"/>
    </xf>
    <xf numFmtId="0" fontId="11" fillId="4" borderId="4" xfId="0" applyFont="1" applyFill="1" applyBorder="1" applyAlignment="1" applyProtection="1">
      <alignment horizontal="left" vertical="top" wrapText="1"/>
      <protection hidden="1"/>
    </xf>
    <xf numFmtId="0" fontId="1" fillId="7" borderId="0" xfId="0" applyFont="1" applyFill="1" applyAlignment="1" applyProtection="1">
      <alignment horizontal="center" vertical="top"/>
      <protection hidden="1"/>
    </xf>
    <xf numFmtId="0" fontId="7" fillId="2" borderId="25" xfId="0" applyFont="1" applyFill="1" applyBorder="1" applyAlignment="1" applyProtection="1">
      <alignment horizontal="left"/>
      <protection locked="0" hidden="1"/>
    </xf>
    <xf numFmtId="0" fontId="7" fillId="2" borderId="27" xfId="0" applyFont="1" applyFill="1" applyBorder="1" applyAlignment="1" applyProtection="1">
      <alignment horizontal="left"/>
      <protection locked="0" hidden="1"/>
    </xf>
    <xf numFmtId="0" fontId="7" fillId="2" borderId="1" xfId="0" applyFont="1" applyFill="1" applyBorder="1" applyAlignment="1" applyProtection="1">
      <alignment horizontal="left"/>
      <protection locked="0" hidden="1"/>
    </xf>
  </cellXfs>
  <cellStyles count="2">
    <cellStyle name="Normal" xfId="0" builtinId="0"/>
    <cellStyle name="Normal 2" xfId="1" xr:uid="{00000000-0005-0000-0000-000001000000}"/>
  </cellStyles>
  <dxfs count="2">
    <dxf>
      <font>
        <color theme="0"/>
      </font>
    </dxf>
    <dxf>
      <font>
        <color rgb="FFFF0000"/>
      </font>
      <fill>
        <patternFill>
          <bgColor theme="0"/>
        </patternFill>
      </fill>
      <border>
        <left style="thin">
          <color auto="1"/>
        </left>
        <right style="thin">
          <color auto="1"/>
        </right>
        <top style="thin">
          <color auto="1"/>
        </top>
        <bottom style="thin">
          <color auto="1"/>
        </bottom>
        <vertical/>
        <horizontal/>
      </border>
    </dxf>
  </dxfs>
  <tableStyles count="0" defaultTableStyle="TableStyleMedium2" defaultPivotStyle="PivotStyleLight16"/>
  <colors>
    <mruColors>
      <color rgb="FF71C2FF"/>
      <color rgb="FF0088EE"/>
      <color rgb="FFF6F9F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228600</xdr:colOff>
      <xdr:row>3</xdr:row>
      <xdr:rowOff>99037</xdr:rowOff>
    </xdr:from>
    <xdr:to>
      <xdr:col>1</xdr:col>
      <xdr:colOff>492162</xdr:colOff>
      <xdr:row>4</xdr:row>
      <xdr:rowOff>57151</xdr:rowOff>
    </xdr:to>
    <xdr:pic>
      <xdr:nvPicPr>
        <xdr:cNvPr id="2" name="Picture 1" descr="X:\Brand\_Brand_Management\Brand_Strategy\_FINALS\_Collateral\Letterhead_NEW_201403\FBM_INT_VERT_RGB_POS.emf">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srcRect/>
        <a:stretch>
          <a:fillRect/>
        </a:stretch>
      </xdr:blipFill>
      <xdr:spPr bwMode="auto">
        <a:xfrm>
          <a:off x="228600" y="99037"/>
          <a:ext cx="501687" cy="577238"/>
        </a:xfrm>
        <a:prstGeom prst="rect">
          <a:avLst/>
        </a:prstGeom>
        <a:noFill/>
        <a:ln w="9525">
          <a:noFill/>
          <a:miter lim="800000"/>
          <a:headEnd/>
          <a:tailEnd/>
        </a:ln>
      </xdr:spPr>
    </xdr:pic>
    <xdr:clientData/>
  </xdr:twoCellAnchor>
  <xdr:twoCellAnchor editAs="oneCell">
    <xdr:from>
      <xdr:col>2</xdr:col>
      <xdr:colOff>396240</xdr:colOff>
      <xdr:row>1</xdr:row>
      <xdr:rowOff>259080</xdr:rowOff>
    </xdr:from>
    <xdr:to>
      <xdr:col>2</xdr:col>
      <xdr:colOff>706366</xdr:colOff>
      <xdr:row>1</xdr:row>
      <xdr:rowOff>437781</xdr:rowOff>
    </xdr:to>
    <xdr:pic>
      <xdr:nvPicPr>
        <xdr:cNvPr id="4" name="Picture 3">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a:srcRect l="79558" t="4312" r="3191" b="82752"/>
        <a:stretch/>
      </xdr:blipFill>
      <xdr:spPr>
        <a:xfrm>
          <a:off x="5996940" y="335280"/>
          <a:ext cx="313936" cy="192036"/>
        </a:xfrm>
        <a:prstGeom prst="rect">
          <a:avLst/>
        </a:prstGeom>
      </xdr:spPr>
    </xdr:pic>
    <xdr:clientData/>
  </xdr:twoCellAnchor>
  <xdr:twoCellAnchor editAs="oneCell">
    <xdr:from>
      <xdr:col>2</xdr:col>
      <xdr:colOff>762000</xdr:colOff>
      <xdr:row>0</xdr:row>
      <xdr:rowOff>68580</xdr:rowOff>
    </xdr:from>
    <xdr:to>
      <xdr:col>2</xdr:col>
      <xdr:colOff>1083556</xdr:colOff>
      <xdr:row>1</xdr:row>
      <xdr:rowOff>171081</xdr:rowOff>
    </xdr:to>
    <xdr:pic>
      <xdr:nvPicPr>
        <xdr:cNvPr id="5" name="Picture 4">
          <a:extLst>
            <a:ext uri="{FF2B5EF4-FFF2-40B4-BE49-F238E27FC236}">
              <a16:creationId xmlns:a16="http://schemas.microsoft.com/office/drawing/2014/main" id="{00000000-0008-0000-0000-000005000000}"/>
            </a:ext>
          </a:extLst>
        </xdr:cNvPr>
        <xdr:cNvPicPr>
          <a:picLocks noChangeAspect="1"/>
        </xdr:cNvPicPr>
      </xdr:nvPicPr>
      <xdr:blipFill rotWithShape="1">
        <a:blip xmlns:r="http://schemas.openxmlformats.org/officeDocument/2006/relationships" r:embed="rId2"/>
        <a:srcRect l="2515" t="29979" r="80234" b="57085"/>
        <a:stretch/>
      </xdr:blipFill>
      <xdr:spPr>
        <a:xfrm>
          <a:off x="6362700" y="68580"/>
          <a:ext cx="313936" cy="192036"/>
        </a:xfrm>
        <a:prstGeom prst="rect">
          <a:avLst/>
        </a:prstGeom>
      </xdr:spPr>
    </xdr:pic>
    <xdr:clientData/>
  </xdr:twoCellAnchor>
  <xdr:twoCellAnchor editAs="oneCell">
    <xdr:from>
      <xdr:col>2</xdr:col>
      <xdr:colOff>762000</xdr:colOff>
      <xdr:row>1</xdr:row>
      <xdr:rowOff>259080</xdr:rowOff>
    </xdr:from>
    <xdr:to>
      <xdr:col>2</xdr:col>
      <xdr:colOff>1083556</xdr:colOff>
      <xdr:row>1</xdr:row>
      <xdr:rowOff>437781</xdr:rowOff>
    </xdr:to>
    <xdr:pic>
      <xdr:nvPicPr>
        <xdr:cNvPr id="7" name="Picture 6">
          <a:extLst>
            <a:ext uri="{FF2B5EF4-FFF2-40B4-BE49-F238E27FC236}">
              <a16:creationId xmlns:a16="http://schemas.microsoft.com/office/drawing/2014/main" id="{00000000-0008-0000-0000-000007000000}"/>
            </a:ext>
          </a:extLst>
        </xdr:cNvPr>
        <xdr:cNvPicPr>
          <a:picLocks noChangeAspect="1"/>
        </xdr:cNvPicPr>
      </xdr:nvPicPr>
      <xdr:blipFill rotWithShape="1">
        <a:blip xmlns:r="http://schemas.openxmlformats.org/officeDocument/2006/relationships" r:embed="rId2"/>
        <a:srcRect l="28140" t="55235" r="54609" b="31829"/>
        <a:stretch/>
      </xdr:blipFill>
      <xdr:spPr>
        <a:xfrm>
          <a:off x="6362700" y="335280"/>
          <a:ext cx="313936" cy="192036"/>
        </a:xfrm>
        <a:prstGeom prst="rect">
          <a:avLst/>
        </a:prstGeom>
      </xdr:spPr>
    </xdr:pic>
    <xdr:clientData/>
  </xdr:twoCellAnchor>
  <xdr:twoCellAnchor editAs="oneCell">
    <xdr:from>
      <xdr:col>2</xdr:col>
      <xdr:colOff>396240</xdr:colOff>
      <xdr:row>1</xdr:row>
      <xdr:rowOff>0</xdr:rowOff>
    </xdr:from>
    <xdr:to>
      <xdr:col>2</xdr:col>
      <xdr:colOff>706366</xdr:colOff>
      <xdr:row>1</xdr:row>
      <xdr:rowOff>192036</xdr:rowOff>
    </xdr:to>
    <xdr:pic>
      <xdr:nvPicPr>
        <xdr:cNvPr id="8" name="Picture 7">
          <a:extLst>
            <a:ext uri="{FF2B5EF4-FFF2-40B4-BE49-F238E27FC236}">
              <a16:creationId xmlns:a16="http://schemas.microsoft.com/office/drawing/2014/main" id="{00000000-0008-0000-0000-000008000000}"/>
            </a:ext>
          </a:extLst>
        </xdr:cNvPr>
        <xdr:cNvPicPr>
          <a:picLocks noChangeAspect="1"/>
        </xdr:cNvPicPr>
      </xdr:nvPicPr>
      <xdr:blipFill rotWithShape="1">
        <a:blip xmlns:r="http://schemas.openxmlformats.org/officeDocument/2006/relationships" r:embed="rId2"/>
        <a:srcRect l="2347" t="80696" r="80402" b="6368"/>
        <a:stretch/>
      </xdr:blipFill>
      <xdr:spPr>
        <a:xfrm>
          <a:off x="5996940" y="76200"/>
          <a:ext cx="313936" cy="192036"/>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EW130"/>
  <sheetViews>
    <sheetView showRowColHeaders="0" tabSelected="1" zoomScaleNormal="100" workbookViewId="0">
      <selection activeCell="D2" sqref="D2"/>
    </sheetView>
  </sheetViews>
  <sheetFormatPr defaultColWidth="9.109375" defaultRowHeight="14.4" x14ac:dyDescent="0.3"/>
  <cols>
    <col min="1" max="1" width="3.5546875" style="1" customWidth="1"/>
    <col min="2" max="2" width="101.5546875" style="5" customWidth="1"/>
    <col min="3" max="3" width="22.21875" style="1" customWidth="1"/>
    <col min="4" max="4" width="25.21875" style="1" customWidth="1"/>
    <col min="5" max="5" width="3.6640625" style="1" customWidth="1"/>
    <col min="6" max="13" width="10.109375" style="169" customWidth="1"/>
    <col min="14" max="16" width="10.109375" style="170" customWidth="1"/>
    <col min="17" max="38" width="10.109375" style="171" customWidth="1"/>
    <col min="39" max="40" width="13.6640625" style="1" customWidth="1"/>
    <col min="41" max="41" width="49.109375" style="1" hidden="1" customWidth="1"/>
    <col min="42" max="42" width="13.6640625" style="1" hidden="1" customWidth="1"/>
    <col min="43" max="43" width="13.6640625" style="41" hidden="1" customWidth="1"/>
    <col min="44" max="44" width="19.6640625" style="1" hidden="1" customWidth="1"/>
    <col min="45" max="50" width="13.6640625" style="1" hidden="1" customWidth="1"/>
    <col min="51" max="51" width="51.77734375" style="1" hidden="1" customWidth="1"/>
    <col min="52" max="61" width="13.6640625" style="1" hidden="1" customWidth="1"/>
    <col min="62" max="62" width="35.33203125" style="41" hidden="1" customWidth="1"/>
    <col min="63" max="63" width="14.5546875" style="41" hidden="1" customWidth="1"/>
    <col min="64" max="64" width="20.5546875" style="41" hidden="1" customWidth="1"/>
    <col min="65" max="65" width="11.44140625" style="41" hidden="1" customWidth="1"/>
    <col min="66" max="66" width="13.88671875" style="41" hidden="1" customWidth="1"/>
    <col min="67" max="67" width="16.44140625" style="41" hidden="1" customWidth="1"/>
    <col min="68" max="68" width="13.44140625" style="41" hidden="1" customWidth="1"/>
    <col min="69" max="69" width="11.6640625" style="41" hidden="1" customWidth="1"/>
    <col min="70" max="70" width="5.77734375" style="41" hidden="1" customWidth="1"/>
    <col min="71" max="73" width="5.109375" style="41" hidden="1" customWidth="1"/>
    <col min="74" max="74" width="6.109375" style="41" hidden="1" customWidth="1"/>
    <col min="75" max="76" width="10.88671875" style="41" hidden="1" customWidth="1"/>
    <col min="77" max="77" width="14.6640625" style="41" hidden="1" customWidth="1"/>
    <col min="78" max="78" width="9.109375" style="41" hidden="1" customWidth="1"/>
    <col min="79" max="79" width="33.5546875" style="41" hidden="1" customWidth="1"/>
    <col min="80" max="92" width="9.109375" style="41" hidden="1" customWidth="1"/>
    <col min="93" max="96" width="13.6640625" style="1" hidden="1" customWidth="1"/>
    <col min="97" max="111" width="9.109375" style="1" hidden="1" customWidth="1"/>
    <col min="112" max="112" width="18.88671875" style="1" hidden="1" customWidth="1"/>
    <col min="113" max="118" width="9.109375" style="1"/>
    <col min="119" max="119" width="9.6640625" style="1" bestFit="1" customWidth="1"/>
    <col min="120" max="120" width="5.6640625" style="1" bestFit="1" customWidth="1"/>
    <col min="121" max="121" width="15.6640625" style="1" bestFit="1" customWidth="1"/>
    <col min="122" max="122" width="10.109375" style="1" bestFit="1" customWidth="1"/>
    <col min="123" max="123" width="10.5546875" style="1" bestFit="1" customWidth="1"/>
    <col min="124" max="124" width="6.77734375" style="1" bestFit="1" customWidth="1"/>
    <col min="125" max="125" width="18.88671875" style="1" bestFit="1" customWidth="1"/>
    <col min="126" max="126" width="10.88671875" style="1" bestFit="1" customWidth="1"/>
    <col min="127" max="127" width="11.33203125" style="1" bestFit="1" customWidth="1"/>
    <col min="128" max="16384" width="9.109375" style="1"/>
  </cols>
  <sheetData>
    <row r="1" spans="1:153" ht="6" customHeight="1" thickBot="1" x14ac:dyDescent="0.35">
      <c r="A1" s="74"/>
      <c r="B1" s="75"/>
      <c r="C1" s="76"/>
      <c r="D1" s="76"/>
      <c r="E1" s="77"/>
    </row>
    <row r="2" spans="1:153" ht="37.799999999999997" customHeight="1" thickBot="1" x14ac:dyDescent="0.35">
      <c r="A2" s="78"/>
      <c r="B2" s="87" t="s">
        <v>76</v>
      </c>
      <c r="C2" s="79"/>
      <c r="D2" s="123"/>
      <c r="E2" s="80"/>
      <c r="BN2" s="186" t="s">
        <v>112</v>
      </c>
      <c r="BO2" s="186"/>
      <c r="BP2" s="186"/>
      <c r="BQ2" s="186"/>
      <c r="BS2" s="131" t="e">
        <f>VLOOKUP(C8,$CJ$73:$CJ$80,1,FALSE)</f>
        <v>#N/A</v>
      </c>
      <c r="BT2" s="131" t="s">
        <v>150</v>
      </c>
      <c r="BZ2" s="186" t="s">
        <v>113</v>
      </c>
      <c r="CA2" s="186"/>
      <c r="CB2" s="186"/>
      <c r="CL2" s="106" t="s">
        <v>168</v>
      </c>
    </row>
    <row r="3" spans="1:153" ht="6" customHeight="1" thickBot="1" x14ac:dyDescent="0.35">
      <c r="A3" s="81"/>
      <c r="B3" s="82"/>
      <c r="C3" s="83"/>
      <c r="D3" s="83"/>
      <c r="E3" s="84"/>
    </row>
    <row r="4" spans="1:153" ht="49.5" customHeight="1" x14ac:dyDescent="0.3">
      <c r="A4" s="30"/>
      <c r="B4" s="180" t="str">
        <f>IF(ISBLANK($D$2),"",
IF($D$2=$CJ$4,CO4,
IF($D$2=$CJ$5,CP4,
IF($D$2=$CJ$6,CQ4,
CR4))))</f>
        <v/>
      </c>
      <c r="C4" s="180"/>
      <c r="D4" s="180"/>
      <c r="E4" s="31"/>
      <c r="AZ4" s="42" t="str">
        <f>CJ4</f>
        <v>English</v>
      </c>
      <c r="BA4" s="43" t="s">
        <v>137</v>
      </c>
      <c r="BB4" s="1" t="s">
        <v>19</v>
      </c>
      <c r="BD4" s="58" t="str">
        <f>CJ4</f>
        <v>English</v>
      </c>
      <c r="BE4" s="59" t="str">
        <f>CJ5</f>
        <v>Français</v>
      </c>
      <c r="BF4" s="59" t="str">
        <f>CJ6</f>
        <v>Português</v>
      </c>
      <c r="BG4" s="60" t="str">
        <f>CJ7</f>
        <v>Español</v>
      </c>
      <c r="BK4" s="116">
        <v>2024</v>
      </c>
      <c r="BL4" s="117" t="s">
        <v>15</v>
      </c>
      <c r="BM4" s="118" t="str">
        <f>"CARTON PRICE VALID FOR "&amp;BK4</f>
        <v>CARTON PRICE VALID FOR 2024</v>
      </c>
      <c r="BN4" s="118" t="s">
        <v>114</v>
      </c>
      <c r="BO4" s="117" t="s">
        <v>16</v>
      </c>
      <c r="BP4" s="118" t="str">
        <f>"FOB FMP conv valid for "&amp;BK4</f>
        <v>FOB FMP conv valid for 2024</v>
      </c>
      <c r="BQ4" s="118" t="str">
        <f>"FOB FMP org valid for "&amp;BK4</f>
        <v>FOB FMP org valid for 2024</v>
      </c>
      <c r="BR4" s="119" t="s">
        <v>7</v>
      </c>
      <c r="BS4" s="120"/>
      <c r="BT4" s="120"/>
      <c r="BU4" s="120"/>
      <c r="BV4" s="117" t="s">
        <v>14</v>
      </c>
      <c r="BW4" s="118" t="str">
        <f>"EXW FMP conv valid for "&amp;BK4</f>
        <v>EXW FMP conv valid for 2024</v>
      </c>
      <c r="BX4" s="118" t="str">
        <f>"EXW FMP org valid for "&amp;BK4</f>
        <v>EXW FMP org valid for 2024</v>
      </c>
      <c r="BY4" s="121"/>
      <c r="BZ4" s="122" t="str">
        <f>"FOB-EXW diff conv valid for "&amp;BK4</f>
        <v>FOB-EXW diff conv valid for 2024</v>
      </c>
      <c r="CA4" s="122" t="str">
        <f>"FOB-EXW diff org valid for "&amp;BK4</f>
        <v>FOB-EXW diff org valid for 2024</v>
      </c>
      <c r="CB4" s="122" t="s">
        <v>123</v>
      </c>
      <c r="CH4" s="38" t="s">
        <v>19</v>
      </c>
      <c r="CI4" s="38"/>
      <c r="CJ4" s="108" t="s">
        <v>77</v>
      </c>
      <c r="CK4" s="134" t="s">
        <v>156</v>
      </c>
      <c r="CL4" s="108" t="e">
        <f>HLOOKUP(C8,$CO$62:$CW$64,2,FALSE)</f>
        <v>#N/A</v>
      </c>
      <c r="CM4" s="38"/>
      <c r="CN4" s="38"/>
      <c r="CO4" s="52" t="str">
        <f>"PRORATE OF FAIRTRADE MINIMUM PRICES AND PREMIUM
THAT ARE VALID FOR "&amp;$BK$4&amp;" FOR IFCO CRATES"</f>
        <v>PRORATE OF FAIRTRADE MINIMUM PRICES AND PREMIUM
THAT ARE VALID FOR 2024 FOR IFCO CRATES</v>
      </c>
      <c r="CP4" s="52" t="str">
        <f>"AU PRORATA DES PRIX MINIMUMS ET DE LA PRIME DU COMMERCE ÉQUITABLE 
QUI SONT VALABLES POUR "&amp;$BK$4&amp;" POUR LES BOîTES IFCO"</f>
        <v>AU PRORATA DES PRIX MINIMUMS ET DE LA PRIME DU COMMERCE ÉQUITABLE 
QUI SONT VALABLES POUR 2024 POUR LES BOîTES IFCO</v>
      </c>
      <c r="CQ4" s="52" t="str">
        <f>"PREÇOS MÍNIMOS DE COMÉRCIO JUSTO E PRÉMIO PROPORCIONAL
QUE SÃO VÁLIDOS PARA "&amp;$BK$4&amp;" PARA CAIXAS IFCO"</f>
        <v>PREÇOS MÍNIMOS DE COMÉRCIO JUSTO E PRÉMIO PROPORCIONAL
QUE SÃO VÁLIDOS PARA 2024 PARA CAIXAS IFCO</v>
      </c>
      <c r="CR4" s="52" t="str">
        <f>"PRORRATEO DE PRECIOS MÍNIMOS Y PRIMA FAIRTRADE 
VIGENTES PARA EL AÑO "&amp;$BK$4&amp;" PARA CAJAS IFCO"</f>
        <v>PRORRATEO DE PRECIOS MÍNIMOS Y PRIMA FAIRTRADE 
VIGENTES PARA EL AÑO 2024 PARA CAJAS IFCO</v>
      </c>
      <c r="CS4" s="38"/>
      <c r="CT4" s="38"/>
      <c r="CU4" s="38"/>
      <c r="CV4" s="38"/>
      <c r="CW4" s="38"/>
      <c r="CX4" s="38"/>
      <c r="CY4" s="38"/>
      <c r="CZ4" s="38"/>
      <c r="DA4" s="38"/>
      <c r="DB4" s="38"/>
      <c r="DC4" s="38"/>
      <c r="DD4" s="38"/>
      <c r="DE4" s="38"/>
      <c r="DF4" s="38"/>
      <c r="DG4" s="38"/>
      <c r="DH4" s="38"/>
      <c r="DI4" s="38"/>
      <c r="DJ4" s="38"/>
      <c r="DK4" s="38"/>
      <c r="DL4" s="38"/>
      <c r="DM4" s="38"/>
      <c r="DN4" s="38"/>
      <c r="DO4" s="38"/>
      <c r="DP4" s="38"/>
      <c r="DQ4" s="38"/>
      <c r="DR4" s="38"/>
      <c r="DS4" s="38"/>
      <c r="DT4" s="38"/>
      <c r="DU4" s="38"/>
      <c r="DV4" s="38"/>
      <c r="EB4" s="38"/>
      <c r="EC4" s="38"/>
      <c r="ED4" s="38"/>
      <c r="EE4" s="38"/>
      <c r="EF4" s="38"/>
      <c r="EG4" s="38"/>
      <c r="EH4" s="38"/>
      <c r="EI4" s="38"/>
      <c r="EJ4" s="38"/>
      <c r="EK4" s="38"/>
      <c r="EL4" s="38"/>
      <c r="EM4" s="38"/>
      <c r="EN4" s="38"/>
      <c r="EO4" s="38"/>
      <c r="EP4" s="38"/>
      <c r="EQ4" s="38"/>
      <c r="ER4" s="38"/>
      <c r="ES4" s="38"/>
      <c r="ET4" s="38"/>
      <c r="EU4" s="38"/>
      <c r="EV4" s="38"/>
      <c r="EW4" s="38"/>
    </row>
    <row r="5" spans="1:153" ht="9" customHeight="1" x14ac:dyDescent="0.3">
      <c r="A5" s="32"/>
      <c r="B5" s="28"/>
      <c r="C5" s="28"/>
      <c r="D5" s="28"/>
      <c r="E5" s="33"/>
      <c r="AZ5" s="44" t="str">
        <f>CJ5</f>
        <v>Français</v>
      </c>
      <c r="BA5" s="45" t="s">
        <v>138</v>
      </c>
      <c r="BB5" s="1" t="s">
        <v>19</v>
      </c>
      <c r="BD5" s="44" t="str">
        <f>"This tool is for prorating the country specific Fairtrade Minimum Prices for banana, which are set for an standard carton box of 18.14 kg and valid for "&amp;BK4&amp;". "</f>
        <v xml:space="preserve">This tool is for prorating the country specific Fairtrade Minimum Prices for banana, which are set for an standard carton box of 18.14 kg and valid for 2024. </v>
      </c>
      <c r="BE5" s="41" t="str">
        <f>"Cet outil est utilisé pour calculer au prorata les prix minimums du commerce équitable pour les bananes, pour des pays spécifiques, fixés pour la boîte en carton standard de 18.14 kg, qui sont valables pendant "&amp;BK4&amp;". "</f>
        <v xml:space="preserve">Cet outil est utilisé pour calculer au prorata les prix minimums du commerce équitable pour les bananes, pour des pays spécifiques, fixés pour la boîte en carton standard de 18.14 kg, qui sont valables pendant 2024. </v>
      </c>
      <c r="BF5" s="41" t="str">
        <f>"Esta ferramenta é utilizada para avaliar os Preços Mínimos de Comércio Justo para bananas, para países específicos, estabelecidos para a caixa de cartão padrão de 18.14 kg, que são válidos para "&amp;BK4&amp;". "</f>
        <v xml:space="preserve">Esta ferramenta é utilizada para avaliar os Preços Mínimos de Comércio Justo para bananas, para países específicos, estabelecidos para a caixa de cartão padrão de 18.14 kg, que são válidos para 2024. </v>
      </c>
      <c r="BG5" s="45" t="str">
        <f>"Esta herramienta sirve para prorratear los Precios Mínimos Fairtrade de banano, para países específicos, establecidos para la caja de cartón estándar de 18.14 kg y que son válidos para "&amp;BK4&amp;"."</f>
        <v>Esta herramienta sirve para prorratear los Precios Mínimos Fairtrade de banano, para países específicos, establecidos para la caja de cartón estándar de 18.14 kg y que son válidos para 2024.</v>
      </c>
      <c r="BH5" s="1" t="s">
        <v>19</v>
      </c>
      <c r="BJ5" s="53" t="str">
        <f>IF(ISBLANK($D$2),"",
IF($D$2=$CJ$4,BD5,
IF($D$2=$CJ$5,BE5,
IF($D$2=$CJ$6,BF5,
BG5))))</f>
        <v/>
      </c>
      <c r="BL5" s="99" t="str">
        <f t="shared" ref="BL5:BL13" si="0">IF(ISBLANK($D$2),"",
IF($D$2=$CJ$4,BD11,
IF($D$2=$CJ$5,BE11,
IF($D$2=$CJ$6,BF11,
BG11))))</f>
        <v/>
      </c>
      <c r="BM5" s="125">
        <f>1.58*0+2.13*0+2.25*0+1.7</f>
        <v>1.7</v>
      </c>
      <c r="BN5" s="100" t="s">
        <v>115</v>
      </c>
      <c r="BO5" s="99" t="str">
        <f t="shared" ref="BO5:BO12" si="1">IF($D$2=$CJ$4,$BD$20,
IF($D$2=$CJ$5,$BE$20,
IF($D$2=$CJ$6,$BF$20,
$BG$20)))</f>
        <v>sin incluir</v>
      </c>
      <c r="BP5" s="124">
        <f>9.9*0+10.7*0+11.5*0+11</f>
        <v>11</v>
      </c>
      <c r="BQ5" s="101"/>
      <c r="BR5" s="113" t="str">
        <f xml:space="preserve">
IF(ISERROR(VLOOKUP(C8,$CJ$73:$CJ$80,1,FALSE)),"",
IF(ISBLANK($D$2),"",
IF($D$2=$CJ$4,$BD$21,
IF($D$2=$CJ$5,$BE$21,
IF($D$2=$CJ$6,$BF$21,
$BG$21)))))</f>
        <v/>
      </c>
      <c r="BS5" s="135" t="str">
        <f>BL5</f>
        <v/>
      </c>
      <c r="BT5" s="102"/>
      <c r="BU5" s="103"/>
      <c r="BV5" s="102" t="s">
        <v>2</v>
      </c>
      <c r="BW5" s="124">
        <f>6.85*0+7*0+7.5*0+7.75</f>
        <v>7.75</v>
      </c>
      <c r="BX5" s="101"/>
      <c r="BY5" s="135" t="str">
        <f>BL5</f>
        <v/>
      </c>
      <c r="BZ5" s="124">
        <f>4.8*0+5.43*0+4.7</f>
        <v>4.7</v>
      </c>
      <c r="CA5" s="101"/>
      <c r="CB5" s="107" t="s">
        <v>124</v>
      </c>
      <c r="CJ5" s="54" t="s">
        <v>80</v>
      </c>
      <c r="CK5" s="134" t="s">
        <v>157</v>
      </c>
      <c r="CL5" s="54" t="e">
        <f>IF(HLOOKUP(C8,$CO$62:$CW$64,3,FALSE)=0,"",HLOOKUP(C8,$CO$62:$CW$64,3,FALSE))</f>
        <v>#N/A</v>
      </c>
      <c r="CM5" s="38" t="s">
        <v>19</v>
      </c>
    </row>
    <row r="6" spans="1:153" ht="102.6" customHeight="1" x14ac:dyDescent="0.3">
      <c r="A6" s="32"/>
      <c r="B6" s="182" t="str">
        <f>BJ5&amp;BJ6&amp;" "&amp;BJ7&amp;"
"&amp;BJ8</f>
        <v xml:space="preserve"> 
</v>
      </c>
      <c r="C6" s="182"/>
      <c r="D6" s="182"/>
      <c r="E6" s="33"/>
      <c r="AO6" s="5" t="s">
        <v>83</v>
      </c>
      <c r="AQ6" s="38" t="s">
        <v>82</v>
      </c>
      <c r="AR6" s="5"/>
      <c r="AS6" s="5"/>
      <c r="AV6" s="5"/>
      <c r="AW6" s="5"/>
      <c r="AZ6" s="44" t="str">
        <f>CJ6</f>
        <v>Português</v>
      </c>
      <c r="BA6" s="45" t="s">
        <v>139</v>
      </c>
      <c r="BB6" s="1" t="s">
        <v>19</v>
      </c>
      <c r="BD6" s="44" t="s">
        <v>178</v>
      </c>
      <c r="BE6" s="41" t="s">
        <v>177</v>
      </c>
      <c r="BF6" s="41" t="s">
        <v>176</v>
      </c>
      <c r="BG6" s="45" t="s">
        <v>175</v>
      </c>
      <c r="BH6" s="1" t="s">
        <v>19</v>
      </c>
      <c r="BJ6" s="54" t="str">
        <f>IF(ISBLANK($D$2),"",
IF($D$2=$CJ$4,BD6,
IF($D$2=$CJ$5,BE6,
IF($D$2=$CJ$6,BF6,
BG6))))</f>
        <v/>
      </c>
      <c r="BL6" s="99" t="str">
        <f t="shared" si="0"/>
        <v/>
      </c>
      <c r="BM6" s="125">
        <f>1.55*0+1.88*0+1.93*0+1.95</f>
        <v>1.95</v>
      </c>
      <c r="BN6" s="100" t="s">
        <v>116</v>
      </c>
      <c r="BO6" s="99" t="str">
        <f t="shared" si="1"/>
        <v>sin incluir</v>
      </c>
      <c r="BP6" s="101"/>
      <c r="BQ6" s="124">
        <f>12.35*0+12.85*0+13.95*0+13.8</f>
        <v>13.8</v>
      </c>
      <c r="BR6" s="114" t="str">
        <f xml:space="preserve">
IF(ISERROR(VLOOKUP(C8,$CK$73:$CK$80,1,FALSE)),"",
IF(ISBLANK($D$2),"",
IF($D$2=$CJ$4,$BD$22,
IF($D$2=$CJ$5,$BE$22,
IF($D$2=$CJ$6,$BF$22,
$BG$22)))))</f>
        <v/>
      </c>
      <c r="BS6" s="135" t="str">
        <f t="shared" ref="BS6:BS13" si="2">BL6</f>
        <v/>
      </c>
      <c r="BT6" s="102"/>
      <c r="BU6" s="102"/>
      <c r="BV6" s="102" t="s">
        <v>13</v>
      </c>
      <c r="BW6" s="101"/>
      <c r="BX6" s="124">
        <f>8.95*0+9.05*0+9.55*0+9.7</f>
        <v>9.6999999999999993</v>
      </c>
      <c r="BY6" s="135" t="str">
        <f t="shared" ref="BY6:BY12" si="3">BL6</f>
        <v/>
      </c>
      <c r="BZ6" s="102"/>
      <c r="CA6" s="102"/>
      <c r="CB6" s="102"/>
      <c r="CE6" s="136" t="str">
        <f>CJ4</f>
        <v>English</v>
      </c>
      <c r="CF6" s="136" t="str">
        <f>CJ5</f>
        <v>Français</v>
      </c>
      <c r="CG6" s="136" t="str">
        <f>CJ6</f>
        <v>Português</v>
      </c>
      <c r="CH6" s="136" t="str">
        <f>CJ7</f>
        <v>Español</v>
      </c>
      <c r="CJ6" s="54" t="s">
        <v>79</v>
      </c>
      <c r="CK6" s="41" t="s">
        <v>19</v>
      </c>
      <c r="CL6" s="55" t="e">
        <f>IF(HLOOKUP(C8,$CO$62:$CW$65,4,FALSE)=0,"",HLOOKUP(C8,$CO$62:$CW$65,4,FALSE))</f>
        <v>#N/A</v>
      </c>
      <c r="CM6" s="38"/>
    </row>
    <row r="7" spans="1:153" ht="6.6" customHeight="1" x14ac:dyDescent="0.3">
      <c r="A7" s="32"/>
      <c r="B7" s="28"/>
      <c r="C7" s="28"/>
      <c r="D7" s="28"/>
      <c r="E7" s="33"/>
      <c r="AR7" s="5"/>
      <c r="AS7" s="5"/>
      <c r="AZ7" s="46" t="str">
        <f>CJ7</f>
        <v>Español</v>
      </c>
      <c r="BA7" s="47" t="s">
        <v>140</v>
      </c>
      <c r="BB7" s="1" t="s">
        <v>19</v>
      </c>
      <c r="BD7" s="44" t="s">
        <v>23</v>
      </c>
      <c r="BE7" s="41" t="s">
        <v>65</v>
      </c>
      <c r="BF7" s="41" t="s">
        <v>66</v>
      </c>
      <c r="BG7" s="45" t="s">
        <v>31</v>
      </c>
      <c r="BH7" s="1" t="s">
        <v>19</v>
      </c>
      <c r="BJ7" s="54" t="str">
        <f>IF(ISBLANK($D$2),"",
IF($D$2=$CJ$4,BD7,
IF($D$2=$CJ$5,BE7,
IF($D$2=$CJ$6,BF7,
BG7))))</f>
        <v/>
      </c>
      <c r="BL7" s="99" t="str">
        <f t="shared" si="0"/>
        <v/>
      </c>
      <c r="BM7" s="125">
        <f>1.14*0+1.53*0+1.85*0+1.74</f>
        <v>1.74</v>
      </c>
      <c r="BN7" s="100" t="str">
        <f>IF(BN16=BH23,"Sta.Marta","Turbo/Sta.Marta")</f>
        <v>Turbo/Sta.Marta</v>
      </c>
      <c r="BO7" s="99" t="str">
        <f t="shared" si="1"/>
        <v>sin incluir</v>
      </c>
      <c r="BP7" s="124">
        <f>9.8*0+10.2*0+11.2*0+11.4</f>
        <v>11.4</v>
      </c>
      <c r="BQ7" s="124">
        <f>13.5*0+13.75</f>
        <v>13.75</v>
      </c>
      <c r="BR7" s="102"/>
      <c r="BS7" s="135" t="str">
        <f t="shared" si="2"/>
        <v/>
      </c>
      <c r="BT7" s="102"/>
      <c r="BU7" s="102"/>
      <c r="BV7" s="102"/>
      <c r="BW7" s="124">
        <f>7.2*0+7.3*0+7.7*0+8</f>
        <v>8</v>
      </c>
      <c r="BX7" s="124">
        <f>9.9*0+10.25</f>
        <v>10.25</v>
      </c>
      <c r="BY7" s="135" t="str">
        <f t="shared" si="3"/>
        <v/>
      </c>
      <c r="BZ7" s="102"/>
      <c r="CA7" s="102"/>
      <c r="CB7" s="102"/>
      <c r="CJ7" s="55" t="s">
        <v>78</v>
      </c>
      <c r="CM7" s="38"/>
    </row>
    <row r="8" spans="1:153" ht="15.6" x14ac:dyDescent="0.3">
      <c r="A8" s="32"/>
      <c r="B8" s="29" t="str">
        <f>IF(ISBLANK($D$2),"",
IF($D$2=$CJ$4,CO8,
IF($D$2=$CJ$5,CP8,
IF($D$2=$CJ$6,CQ8,
CR8))))</f>
        <v/>
      </c>
      <c r="C8" s="189"/>
      <c r="D8" s="189"/>
      <c r="E8" s="33"/>
      <c r="AO8" s="126" t="e">
        <f>VLOOKUP(D2&amp;C8,$AY$15:$AY$58,1,FALSE)</f>
        <v>#N/A</v>
      </c>
      <c r="AP8" s="92" t="b">
        <f>ISERROR(AO8)</f>
        <v>1</v>
      </c>
      <c r="AQ8" s="106" t="b">
        <f>IF(AND(AP8=FALSE,AP9=FALSE,AP10=TRUE),FALSE,TRUE)</f>
        <v>1</v>
      </c>
      <c r="AR8" s="5"/>
      <c r="AS8" s="5"/>
      <c r="AV8" s="93"/>
      <c r="AW8" s="93"/>
      <c r="AZ8" s="41"/>
      <c r="BD8" s="44" t="s">
        <v>20</v>
      </c>
      <c r="BE8" s="41" t="s">
        <v>68</v>
      </c>
      <c r="BF8" s="1" t="s">
        <v>67</v>
      </c>
      <c r="BG8" s="45" t="s">
        <v>84</v>
      </c>
      <c r="BH8" s="1" t="s">
        <v>19</v>
      </c>
      <c r="BJ8" s="55" t="str">
        <f>IF(ISBLANK($D$2),"",
IF($D$2=$CJ$4,BD8,
IF($D$2=$CJ$5,BE8,
IF($D$2=$CJ$6,BF8,
BG8))))</f>
        <v/>
      </c>
      <c r="BL8" s="99" t="str">
        <f t="shared" si="0"/>
        <v/>
      </c>
      <c r="BM8" s="125">
        <f>1.35*0+1.9*0+2.22*0+1.85</f>
        <v>1.85</v>
      </c>
      <c r="BN8" s="100" t="s">
        <v>117</v>
      </c>
      <c r="BO8" s="99" t="str">
        <f t="shared" si="1"/>
        <v>sin incluir</v>
      </c>
      <c r="BP8" s="124">
        <f>9.35*0+10.05*0+11.05*0+10.9</f>
        <v>10.9</v>
      </c>
      <c r="BQ8" s="124">
        <f>12.2*0+12.85*0+13.8*0+13.7</f>
        <v>13.7</v>
      </c>
      <c r="BR8" s="102"/>
      <c r="BS8" s="135" t="str">
        <f t="shared" si="2"/>
        <v/>
      </c>
      <c r="BT8" s="102"/>
      <c r="BU8" s="102"/>
      <c r="BV8" s="102"/>
      <c r="BW8" s="124">
        <f>6.55*0+6.65*0+7.05*0+7.1</f>
        <v>7.1</v>
      </c>
      <c r="BX8" s="124">
        <f>9.3*0+9.35*0+9.7*0+9.75</f>
        <v>9.75</v>
      </c>
      <c r="BY8" s="135" t="str">
        <f t="shared" si="3"/>
        <v/>
      </c>
      <c r="BZ8" s="124">
        <f>3.85*0+4.44*0+4.12</f>
        <v>4.12</v>
      </c>
      <c r="CA8" s="124">
        <f>3.95*0+4.54*0+4.27</f>
        <v>4.2699999999999996</v>
      </c>
      <c r="CB8" s="107" t="str">
        <f>IF($D$2=$CJ$4,CE8,
IF($D$2=$CJ$5,CF8,
IF($D$2=$CJ$6,CG8,
CH8)))</f>
        <v>Guayaquil (llegando a puerto desde Machala)</v>
      </c>
      <c r="CE8" s="137" t="s">
        <v>160</v>
      </c>
      <c r="CF8" s="137" t="s">
        <v>164</v>
      </c>
      <c r="CG8" s="137" t="s">
        <v>166</v>
      </c>
      <c r="CH8" s="137" t="s">
        <v>162</v>
      </c>
      <c r="CI8" s="121" t="s">
        <v>19</v>
      </c>
      <c r="CO8" s="52" t="s">
        <v>17</v>
      </c>
      <c r="CP8" s="52" t="s">
        <v>51</v>
      </c>
      <c r="CQ8" s="52" t="s">
        <v>53</v>
      </c>
      <c r="CR8" s="52" t="s">
        <v>24</v>
      </c>
    </row>
    <row r="9" spans="1:153" ht="15.6" x14ac:dyDescent="0.3">
      <c r="A9" s="32"/>
      <c r="B9" s="29" t="str">
        <f>IF(ISBLANK($D$2),"",
IF($D$2=$CJ$4,CO9,
IF($D$2=$CJ$5,CP9,
IF($D$2=$CJ$6,CQ9,
CR9))))</f>
        <v/>
      </c>
      <c r="C9" s="189"/>
      <c r="D9" s="189"/>
      <c r="E9" s="33"/>
      <c r="AO9" s="126" t="e">
        <f>VLOOKUP(D2&amp;C9,$AY$15:$AY$58,1,FALSE)</f>
        <v>#N/A</v>
      </c>
      <c r="AP9" s="92" t="b">
        <f>ISERROR(AO9)</f>
        <v>1</v>
      </c>
      <c r="AR9" s="5"/>
      <c r="AS9" s="5"/>
      <c r="AU9" s="1" t="s">
        <v>19</v>
      </c>
      <c r="AZ9" s="41"/>
      <c r="BD9" s="44"/>
      <c r="BG9" s="45"/>
      <c r="BL9" s="99" t="str">
        <f>IF(ISBLANK($D$2),"",
IF($D$2=$CJ$4,BD15,
IF($D$2=$CJ$5,BE15,
IF($D$2=$CJ$6,BF15,
BG15))))</f>
        <v/>
      </c>
      <c r="BM9" s="125">
        <f>1.7*0+2.22*0+2.25*0+2.25</f>
        <v>2.25</v>
      </c>
      <c r="BN9" s="100" t="s">
        <v>118</v>
      </c>
      <c r="BO9" s="99" t="str">
        <f t="shared" si="1"/>
        <v>sin incluir</v>
      </c>
      <c r="BP9" s="124">
        <f>12.2*0+12.75*0+13.1*0+13.1</f>
        <v>13.1</v>
      </c>
      <c r="BQ9" s="101"/>
      <c r="BR9" s="102"/>
      <c r="BS9" s="135" t="str">
        <f t="shared" si="2"/>
        <v/>
      </c>
      <c r="BT9" s="102"/>
      <c r="BU9" s="102"/>
      <c r="BV9" s="102"/>
      <c r="BW9" s="124">
        <f>8.95*0+9*0+9</f>
        <v>9</v>
      </c>
      <c r="BX9" s="101"/>
      <c r="BY9" s="135" t="str">
        <f t="shared" si="3"/>
        <v/>
      </c>
      <c r="BZ9" s="124">
        <f>3.88</f>
        <v>3.88</v>
      </c>
      <c r="CA9" s="124">
        <v>4.03</v>
      </c>
      <c r="CB9" s="107" t="str">
        <f>IF($D$2=$CJ$4,CE9,
IF($D$2=$CJ$5,CF9,
IF($D$2=$CJ$6,CG9,
CH9)))</f>
        <v>Guayaquil/Posorja (llegando a puerto desde Santa Elena)</v>
      </c>
      <c r="CE9" s="137" t="s">
        <v>161</v>
      </c>
      <c r="CF9" s="137" t="s">
        <v>165</v>
      </c>
      <c r="CG9" s="137" t="s">
        <v>167</v>
      </c>
      <c r="CH9" s="137" t="s">
        <v>163</v>
      </c>
      <c r="CI9" s="121" t="s">
        <v>19</v>
      </c>
      <c r="CO9" s="52" t="s">
        <v>18</v>
      </c>
      <c r="CP9" s="52" t="s">
        <v>52</v>
      </c>
      <c r="CQ9" s="52" t="s">
        <v>54</v>
      </c>
      <c r="CR9" s="52" t="s">
        <v>25</v>
      </c>
    </row>
    <row r="10" spans="1:153" ht="15.6" x14ac:dyDescent="0.3">
      <c r="A10" s="32"/>
      <c r="B10" s="29" t="str">
        <f>IF(ISBLANK($D$2),"",
IF($D$2=$CJ$4,CO10,
IF($D$2=$CJ$5,CP10,
IF($D$2=$CJ$6,CQ10,
CR10))))</f>
        <v/>
      </c>
      <c r="C10" s="187"/>
      <c r="D10" s="188"/>
      <c r="E10" s="33"/>
      <c r="AO10" s="126" t="str">
        <f>C8&amp;C10</f>
        <v/>
      </c>
      <c r="AP10" s="161" t="b">
        <f>IF(ISBLANK(C10),FALSE,
IF(ISERROR(OR(C10=CL4,C10=CL5,C10=CL6)),FALSE,
OR(C10=CL4,C10=CL5,C10=CL6)))</f>
        <v>0</v>
      </c>
      <c r="AR10" s="5"/>
      <c r="AS10" s="5"/>
      <c r="AZ10" s="41"/>
      <c r="BD10" s="44"/>
      <c r="BG10" s="45"/>
      <c r="BL10" s="99" t="str">
        <f>IF(ISBLANK($D$2),"",
IF($D$2=$CJ$4,BD16,
IF($D$2=$CJ$5,BE16,
IF($D$2=$CJ$6,BF16,
BG16))))</f>
        <v/>
      </c>
      <c r="BM10" s="125">
        <f>1.74*0+1.99*0+1.74</f>
        <v>1.74</v>
      </c>
      <c r="BN10" s="100" t="s">
        <v>119</v>
      </c>
      <c r="BO10" s="99" t="str">
        <f t="shared" si="1"/>
        <v>sin incluir</v>
      </c>
      <c r="BP10" s="124">
        <f>9.35*0+10.3*0+10.4</f>
        <v>10.4</v>
      </c>
      <c r="BQ10" s="124">
        <f>12.25*0+12.95*0+13.05</f>
        <v>13.05</v>
      </c>
      <c r="BR10" s="102"/>
      <c r="BS10" s="135" t="str">
        <f t="shared" si="2"/>
        <v/>
      </c>
      <c r="BT10" s="102"/>
      <c r="BU10" s="102"/>
      <c r="BV10" s="102"/>
      <c r="BW10" s="124">
        <f>6.9*0+7.4*0+7.45</f>
        <v>7.45</v>
      </c>
      <c r="BX10" s="124">
        <f>9.8*0+10.05*0+10.1</f>
        <v>10.1</v>
      </c>
      <c r="BY10" s="135" t="str">
        <f t="shared" si="3"/>
        <v/>
      </c>
      <c r="BZ10" s="102"/>
      <c r="CA10" s="102"/>
      <c r="CB10" s="102"/>
      <c r="CO10" s="52" t="s">
        <v>127</v>
      </c>
      <c r="CP10" s="52" t="s">
        <v>127</v>
      </c>
      <c r="CQ10" s="52" t="s">
        <v>128</v>
      </c>
      <c r="CR10" s="52" t="s">
        <v>126</v>
      </c>
    </row>
    <row r="11" spans="1:153" ht="5.4" customHeight="1" x14ac:dyDescent="0.3">
      <c r="A11" s="32"/>
      <c r="B11" s="40"/>
      <c r="C11" s="39" t="s">
        <v>2</v>
      </c>
      <c r="D11" s="39"/>
      <c r="E11" s="33"/>
      <c r="AR11" s="5"/>
      <c r="AS11" s="5"/>
      <c r="AZ11" s="38"/>
      <c r="BD11" s="61" t="s">
        <v>4</v>
      </c>
      <c r="BE11" s="62" t="s">
        <v>4</v>
      </c>
      <c r="BF11" s="62" t="s">
        <v>36</v>
      </c>
      <c r="BG11" s="63" t="s">
        <v>36</v>
      </c>
      <c r="BH11" s="1" t="s">
        <v>19</v>
      </c>
      <c r="BL11" s="99" t="str">
        <f t="shared" si="0"/>
        <v/>
      </c>
      <c r="BM11" s="125">
        <f>1.75*0+2.05*0+2.55*0+2.38</f>
        <v>2.38</v>
      </c>
      <c r="BN11" s="100" t="s">
        <v>120</v>
      </c>
      <c r="BO11" s="99" t="str">
        <f t="shared" si="1"/>
        <v>sin incluir</v>
      </c>
      <c r="BP11" s="124">
        <f>11*0+11.7*0+12.55*0+12.45</f>
        <v>12.45</v>
      </c>
      <c r="BQ11" s="124">
        <f>13.6*0+14.2*0+14.9*0+14.9</f>
        <v>14.9</v>
      </c>
      <c r="BR11" s="102"/>
      <c r="BS11" s="135" t="str">
        <f t="shared" si="2"/>
        <v/>
      </c>
      <c r="BT11" s="102"/>
      <c r="BU11" s="102"/>
      <c r="BV11" s="102"/>
      <c r="BW11" s="124">
        <f>7.15*0+7.3*0+7.75*0+7.85</f>
        <v>7.85</v>
      </c>
      <c r="BX11" s="124">
        <f>9.75*0+9.8*0+10.1*0+10.3</f>
        <v>10.3</v>
      </c>
      <c r="BY11" s="135" t="str">
        <f t="shared" si="3"/>
        <v/>
      </c>
      <c r="BZ11" s="124">
        <f>4.45*0+4.87*0+4.57</f>
        <v>4.57</v>
      </c>
      <c r="CA11" s="124">
        <f>4.45*0+4.87*0+4.57</f>
        <v>4.57</v>
      </c>
      <c r="CB11" s="107" t="s">
        <v>125</v>
      </c>
    </row>
    <row r="12" spans="1:153" ht="66" customHeight="1" x14ac:dyDescent="0.3">
      <c r="A12" s="32"/>
      <c r="B12" s="181" t="str">
        <f>IF(OR(ISBLANK($D$2),ISBLANK($C$8),ISBLANK($C$9),ISBLANK($C$10)),"",
IF($AQ$8,VLOOKUP($D$2,$AZ$4:$BA$7,2,FALSE),
IF($D$2=$CJ$4,CO12,
IF($D$2=$CJ$5,CP12,
IF($D$2=$CJ$6,CQ12,
CR12)))))</f>
        <v/>
      </c>
      <c r="C12" s="181"/>
      <c r="D12" s="181"/>
      <c r="E12" s="33"/>
      <c r="G12" s="172"/>
      <c r="AO12" s="112" t="b">
        <f>IF(OR(B12=CW12,B12=CX12,B12=CY12,B12=CZ12,B12=BA4,B12=BA5,B12=BA6,B12=BA7),TRUE,FALSE)</f>
        <v>0</v>
      </c>
      <c r="AR12" s="94"/>
      <c r="AZ12" s="41"/>
      <c r="BD12" s="61" t="s">
        <v>5</v>
      </c>
      <c r="BE12" s="62" t="s">
        <v>39</v>
      </c>
      <c r="BF12" s="62" t="s">
        <v>5</v>
      </c>
      <c r="BG12" s="63" t="s">
        <v>37</v>
      </c>
      <c r="BH12" s="1" t="s">
        <v>19</v>
      </c>
      <c r="BL12" s="99" t="str">
        <f t="shared" si="0"/>
        <v/>
      </c>
      <c r="BM12" s="125">
        <f>1.34*0+1.33*0+1.59*0+1.9</f>
        <v>1.9</v>
      </c>
      <c r="BN12" s="100" t="s">
        <v>121</v>
      </c>
      <c r="BO12" s="99" t="str">
        <f t="shared" si="1"/>
        <v>sin incluir</v>
      </c>
      <c r="BP12" s="124">
        <f>9.4*0+9.9*0+10.35*0+10.85</f>
        <v>10.85</v>
      </c>
      <c r="BQ12" s="101"/>
      <c r="BR12" s="102"/>
      <c r="BS12" s="135" t="str">
        <f t="shared" si="2"/>
        <v/>
      </c>
      <c r="BT12" s="102"/>
      <c r="BU12" s="102"/>
      <c r="BV12" s="102"/>
      <c r="BW12" s="124">
        <f>6.85*0+6.85*0+6.85*0+7.15</f>
        <v>7.15</v>
      </c>
      <c r="BX12" s="101"/>
      <c r="BY12" s="135" t="str">
        <f t="shared" si="3"/>
        <v/>
      </c>
      <c r="BZ12" s="124">
        <f>3.5*0+4.84*0+4.59</f>
        <v>4.59</v>
      </c>
      <c r="CA12" s="101"/>
      <c r="CB12" s="107" t="s">
        <v>158</v>
      </c>
      <c r="CE12" s="120"/>
      <c r="CO12" s="52" t="str">
        <f>IF($BQ$14=FALSE,"",
IF(ISERROR($BP$14),VLOOKUP($D$2,$AZ$4:$BA$7,2,FALSE),
IF(OR($BP$14=0,BN17=FALSE),"Prorate cannot run. This tool only prorates prices set for country specific Fairtrade Minimum Prices for banana. There is no country specific Fairtrade Minimum Price for "&amp;BN16&amp;" banana from "&amp;$C$8,"")))</f>
        <v/>
      </c>
      <c r="CP12" s="52" t="str">
        <f>IF($BQ$14=FALSE,"",
IF(ISERROR($BP$14),VLOOKUP($D$2,$AZ$4:$BA$7,2,FALSE),
IF(OR($BP$14=0,BN17=FALSE),"Le prorata ne peut pas courir. L'outil ne fait qu'établir au prorata le prix fixé pour les prix minimums Fairtrade spécifiques à chaque pays pour la banane. Il n'existe pas de prix minimum du Fairtrade spécifique à un pays pour les bananes "&amp;BN16&amp;" de "&amp;$C$8,"")))</f>
        <v/>
      </c>
      <c r="CQ12" s="52" t="str">
        <f>IF($BQ$14=FALSE,"",
IF(ISERROR($BP$14),VLOOKUP($D$2,$AZ$4:$BA$7,2,FALSE),
IF(OR($BP$14=0,BN17=FALSE),"O prorato não pode funcionar. O instrumento apenas prorroga os preços estabelecidos para os preços mínimos de comércio equitativo específicos do país para a banana. Não existe um preço mínimo de comércio equitativo específico de um país para "&amp;BN16&amp;" de "&amp;$C$8,"")))</f>
        <v/>
      </c>
      <c r="CR12" s="52" t="str">
        <f>IF($BQ$14=FALSE,"",
IF(ISERROR($BP$14),VLOOKUP($D$2,$AZ$4:$BA$7,2,FALSE),
IF(OR($BP$14=0,BN17=FALSE),"El prorrateo no se puede llevar a cabo. Esta herramienta sólo prorratea los Precios Mínimos Fairtrade de banano para países específicos. No existe un Precio Mínimo para banana "&amp;BN16&amp;" de "&amp;$C$8,"")))</f>
        <v/>
      </c>
      <c r="CS12" s="1" t="s">
        <v>19</v>
      </c>
      <c r="CW12" s="1" t="str">
        <f>"Prorate cannot run. This tool only prorates prices set for country specific Fairtrade Minimum Prices for banana. There is no country specific Fairtrade Minimum Price for "&amp;BN16&amp;" banana from "&amp;$C$8</f>
        <v xml:space="preserve">Prorate cannot run. This tool only prorates prices set for country specific Fairtrade Minimum Prices for banana. There is no country specific Fairtrade Minimum Price for convencional banana from </v>
      </c>
      <c r="CX12" s="1" t="str">
        <f>"Le prorata ne peut pas courir. L'outil ne fait qu'établir au prorata le prix fixé pour les prix minimums Fairtrade spécifiques à chaque pays pour la banane. Il n'existe pas de prix minimum du Fairtrade spécifique à un pays pour les bananes "&amp;BN16&amp;" de "&amp;$C$8</f>
        <v xml:space="preserve">Le prorata ne peut pas courir. L'outil ne fait qu'établir au prorata le prix fixé pour les prix minimums Fairtrade spécifiques à chaque pays pour la banane. Il n'existe pas de prix minimum du Fairtrade spécifique à un pays pour les bananes convencional de </v>
      </c>
      <c r="CY12" s="1" t="str">
        <f>"O prorato não pode funcionar. O instrumento apenas prorroga os preços estabelecidos para os preços mínimos de comércio equitativo específicos do país para a banana. Não existe um preço mínimo de comércio equitativo específico de um país para "&amp;BN16&amp;" de "&amp;$C$8</f>
        <v xml:space="preserve">O prorato não pode funcionar. O instrumento apenas prorroga os preços estabelecidos para os preços mínimos de comércio equitativo específicos do país para a banana. Não existe um preço mínimo de comércio equitativo específico de um país para convencional de </v>
      </c>
      <c r="CZ12" s="1" t="str">
        <f>"El prorrateo no se puede llevar a cabo. Esta herramienta sólo prorratea los Precios Mínimos Fairtrade de banano para países específicos. No existe un Precio Mínimo para banana "&amp;BN16&amp;" de "&amp;$C$8</f>
        <v xml:space="preserve">El prorrateo no se puede llevar a cabo. Esta herramienta sólo prorratea los Precios Mínimos Fairtrade de banano para países específicos. No existe un Precio Mínimo para banana convencional de </v>
      </c>
      <c r="DA12" s="1" t="s">
        <v>19</v>
      </c>
    </row>
    <row r="13" spans="1:153" ht="9" customHeight="1" thickBot="1" x14ac:dyDescent="0.35">
      <c r="A13" s="32"/>
      <c r="B13" s="27"/>
      <c r="C13" s="27"/>
      <c r="D13" s="27"/>
      <c r="E13" s="33"/>
      <c r="AO13" s="112" t="b">
        <f>ISERROR(VLOOKUP(C10,CL4:CL6,1,FALSE))</f>
        <v>1</v>
      </c>
      <c r="AZ13" s="41"/>
      <c r="BD13" s="61" t="s">
        <v>0</v>
      </c>
      <c r="BE13" s="62" t="s">
        <v>40</v>
      </c>
      <c r="BF13" s="62" t="s">
        <v>43</v>
      </c>
      <c r="BG13" s="63" t="s">
        <v>0</v>
      </c>
      <c r="BL13" s="99" t="str">
        <f t="shared" si="0"/>
        <v/>
      </c>
      <c r="BM13" s="125">
        <f>1.73*0+2.05*0+1.71</f>
        <v>1.71</v>
      </c>
      <c r="BN13" s="100" t="s">
        <v>122</v>
      </c>
      <c r="BO13" s="99" t="s">
        <v>32</v>
      </c>
      <c r="BP13" s="124">
        <f>9.3*0+10.35*0+10.2</f>
        <v>10.199999999999999</v>
      </c>
      <c r="BQ13" s="101"/>
      <c r="BS13" s="135" t="str">
        <f t="shared" si="2"/>
        <v/>
      </c>
      <c r="BU13" s="48"/>
      <c r="BW13" s="124">
        <f>6.8*0+7.25*0+7.3</f>
        <v>7.3</v>
      </c>
      <c r="BX13" s="101"/>
      <c r="BY13" s="135" t="str">
        <f>BL13</f>
        <v/>
      </c>
      <c r="BZ13" s="124">
        <v>2.66</v>
      </c>
      <c r="CA13" s="101"/>
      <c r="CB13" s="107" t="s">
        <v>159</v>
      </c>
    </row>
    <row r="14" spans="1:153" ht="33" customHeight="1" thickBot="1" x14ac:dyDescent="0.35">
      <c r="A14" s="32"/>
      <c r="B14" s="183" t="str">
        <f>IF(OR($AQ$8,ISBLANK($D$2),B12&lt;&gt;""),"",
IF($D$2=$CJ$4,CO32,
IF($D$2=$CJ$5,CP32,
IF($D$2=$CJ$6,CQ32,
CR32))))</f>
        <v/>
      </c>
      <c r="C14" s="184"/>
      <c r="D14" s="185"/>
      <c r="E14" s="33"/>
      <c r="G14" s="172"/>
      <c r="AZ14" s="41"/>
      <c r="BD14" s="61" t="s">
        <v>1</v>
      </c>
      <c r="BE14" s="62" t="s">
        <v>41</v>
      </c>
      <c r="BF14" s="62" t="s">
        <v>44</v>
      </c>
      <c r="BG14" s="63" t="s">
        <v>1</v>
      </c>
      <c r="BJ14" s="88" t="b">
        <f>IF(OR(ISBLANK(#REF!),ISBLANK(#REF!)),TRUE,FALSE)</f>
        <v>0</v>
      </c>
      <c r="BK14" s="132" t="s">
        <v>151</v>
      </c>
      <c r="BL14" s="89" t="str">
        <f>IF($BQ$14=FALSE,"",VLOOKUP($C$8,$BL$5:$BM$13,1,FALSE))</f>
        <v/>
      </c>
      <c r="BM14" s="89" t="str">
        <f>IF($BQ$14=FALSE,"",VLOOKUP($C$8,$BL$5:$BM$13,2,FALSE))</f>
        <v/>
      </c>
      <c r="BN14" s="89" t="str">
        <f>IF($C$9=$BR$5,BH21,BH22)</f>
        <v>banano Fairtrade convencional</v>
      </c>
      <c r="BO14" s="89"/>
      <c r="BP14" s="90" t="str">
        <f>IF($BQ$14=FALSE,"",
IF($C$9=$BR$5,VLOOKUP($C$8,$BL$5:$BQ$13,5,FALSE),
VLOOKUP($C$8,$BL$5:$BQ$13,6,FALSE)))</f>
        <v/>
      </c>
      <c r="BQ14" s="91" t="b">
        <f>AND(ISBLANK(C8)=FALSE,ISBLANK(C9)=FALSE,ISBLANK(C11)=FALSE)</f>
        <v>0</v>
      </c>
      <c r="BR14" s="41" t="s">
        <v>153</v>
      </c>
      <c r="BW14" s="49" t="str">
        <f>IF($BQ$14=FALSE,"",IF($C$9=$BR$5,VLOOKUP($C$8,$BL$5:$BX$13,12,FALSE),
VLOOKUP($C$8,$BL$5:$BX$13,13,FALSE)))</f>
        <v/>
      </c>
      <c r="CH14" s="131"/>
      <c r="CO14" s="52" t="e">
        <f>"EXAMPLE FOR:
  PRORATE TO SPECIAL CARTON BOX "&amp;IF(ISBLANK(#REF!),"OF __ kg (PLEASE ENTER THE WEIGHT IN KILOGRAMS IN CELL C21)","OF "&amp;#REF!&amp;"kg FOR BANANA")</f>
        <v>#REF!</v>
      </c>
      <c r="CP14" s="52" t="e">
        <f>"EXEMPLE POUR :
RÉPARTITION POUR LA BOÎTE EN CARTON SPÉCIALE "&amp;IF(ISBLANK(#REF!),"DE __ kg (ENTREZ LE POIDS EN KILOGRAMMES DANS LA CELLULE C21)","DE "&amp;#REF!&amp;"kg DE BANANE FRAÎCHE")</f>
        <v>#REF!</v>
      </c>
      <c r="CQ14" s="52" t="e">
        <f>"EXEMPLO PARA:
REPARTIÇÃO PARA A CAIXA DE CARTÃO ESPECIAL "&amp;IF(ISBLANK(#REF!),"DE __ kg (INTRODUZIR PESO EM QUILOGRAMAS NA CÉLULA C21)","DE "&amp;#REF!&amp;"kg DE BANANA FRESCA")</f>
        <v>#REF!</v>
      </c>
      <c r="CR14" s="52" t="e">
        <f>"EJEMPLO PARA:
  PRORRATEO PARA LA CAJA DE CARTÓN ESPECIAL "&amp;IF(ISBLANK(#REF!),"DE __ kg (INGRESE EL PESO EN KILOGRAMOS EN LA CELDA C21)","DE "&amp;#REF!&amp;"kg DE BANANO FRESCO")</f>
        <v>#REF!</v>
      </c>
    </row>
    <row r="15" spans="1:153" ht="15" customHeight="1" x14ac:dyDescent="0.3">
      <c r="A15" s="32"/>
      <c r="B15" s="6" t="str">
        <f>IF(OR($AQ$8,ISBLANK($D$2)),"",
IF($D$2=$CJ$4,CO33,
IF($D$2=$CJ$5,CP33,
IF($D$2=$CJ$6,CQ33,
CR33))))</f>
        <v/>
      </c>
      <c r="C15" s="7"/>
      <c r="D15" s="8"/>
      <c r="E15" s="33"/>
      <c r="AO15" s="85" t="str">
        <f>BA15&amp;AZ17</f>
        <v>Englishbanane conventionnelle du commerce équitable</v>
      </c>
      <c r="AP15" s="56" t="str">
        <f>AZ15</f>
        <v>conventional Fairtrade banana</v>
      </c>
      <c r="AQ15" s="41" t="s">
        <v>19</v>
      </c>
      <c r="AX15" s="1" t="s">
        <v>135</v>
      </c>
      <c r="AY15" s="42" t="str">
        <f t="shared" ref="AY15:AY30" si="4">BA15&amp;AZ15</f>
        <v>Englishconventional Fairtrade banana</v>
      </c>
      <c r="AZ15" s="95" t="str">
        <f>BD21</f>
        <v>conventional Fairtrade banana</v>
      </c>
      <c r="BA15" s="71" t="str">
        <f>BD4</f>
        <v>English</v>
      </c>
      <c r="BD15" s="61" t="s">
        <v>85</v>
      </c>
      <c r="BE15" s="62" t="s">
        <v>86</v>
      </c>
      <c r="BF15" s="62" t="s">
        <v>87</v>
      </c>
      <c r="BG15" s="63" t="s">
        <v>88</v>
      </c>
      <c r="BJ15" s="88"/>
      <c r="BK15" s="132" t="s">
        <v>152</v>
      </c>
      <c r="BL15" s="89" t="str">
        <f>BL14</f>
        <v/>
      </c>
      <c r="BM15" s="89"/>
      <c r="BN15" s="89">
        <f>C9</f>
        <v>0</v>
      </c>
      <c r="BO15" s="89"/>
      <c r="BP15" s="89"/>
      <c r="BQ15" s="91"/>
      <c r="CO15" s="52" t="s">
        <v>21</v>
      </c>
      <c r="CP15" s="52" t="s">
        <v>55</v>
      </c>
      <c r="CQ15" s="52" t="s">
        <v>56</v>
      </c>
      <c r="CR15" s="52" t="s">
        <v>35</v>
      </c>
    </row>
    <row r="16" spans="1:153" ht="46.2" customHeight="1" x14ac:dyDescent="0.3">
      <c r="A16" s="32"/>
      <c r="B16" s="9" t="str">
        <f>IF(OR($AQ$8,ISBLANK($D$2),B12&lt;&gt;""),"",
IF($D$2=$CJ$4,CO34,
IF($D$2=$CJ$5,CP34,
IF($D$2=$CJ$6,CQ34,
CR34))))</f>
        <v/>
      </c>
      <c r="C16" s="129" t="str">
        <f>IF(OR($AQ$8,ISBLANK($D$2),B12&lt;&gt;""),"",CB114)</f>
        <v/>
      </c>
      <c r="D16" s="11" t="str">
        <f>IF(OR($AQ$8,ISBLANK($D$2),B12&lt;&gt;""),"",
IF(BQ14=FALSE,"",
IF($BP$14=0,"",
IF(OR($C$8=BD16,$C$8=BE16,$C$8=BF16,$C$8=BG16,$C$8=BD19,$C$8=BE19,$C$8=BF19,$C$8=BG19),"EUR/box"&amp;$C$18&amp;"kg",
"USD/box"&amp;$C$18&amp;"kg"))))</f>
        <v/>
      </c>
      <c r="E16" s="127"/>
      <c r="AO16" s="64" t="str">
        <f>BA16&amp;AZ18</f>
        <v>Englishbanane biologique du commerce équitable</v>
      </c>
      <c r="AP16" s="65" t="str">
        <f>AZ16</f>
        <v>organic Fairtrade banana</v>
      </c>
      <c r="AQ16" s="41" t="s">
        <v>19</v>
      </c>
      <c r="AY16" s="44" t="str">
        <f t="shared" si="4"/>
        <v>Englishorganic Fairtrade banana</v>
      </c>
      <c r="AZ16" s="96" t="str">
        <f>BD22</f>
        <v>organic Fairtrade banana</v>
      </c>
      <c r="BA16" s="72" t="str">
        <f>BD4</f>
        <v>English</v>
      </c>
      <c r="BD16" s="61" t="s">
        <v>89</v>
      </c>
      <c r="BE16" s="62" t="s">
        <v>89</v>
      </c>
      <c r="BF16" s="62" t="s">
        <v>94</v>
      </c>
      <c r="BG16" s="63" t="s">
        <v>94</v>
      </c>
      <c r="BN16" s="41" t="str">
        <f>IF($C$9=$BR$5,BH24,BH23)</f>
        <v>convencional</v>
      </c>
      <c r="CO16" s="52" t="str">
        <f>IF(BQ14=FALSE,"",
IF($BP$14=0,"",
"• Price of the standard carton box ("&amp;VLOOKUP($C$8,$BL$5:$BO$13,4,FALSE)&amp;" the value added tax), that was used as reference in "&amp;BK4-1&amp;", for estimating the Fairtrade Minimum Price for Fairtrade banana from "&amp;$BL$14&amp;":"))</f>
        <v/>
      </c>
      <c r="CP16" s="52" t="str">
        <f>IF(BQ14=FALSE,"",
IF($BP$14=0,"",
"• Prix d'une boîte en carton standard ("&amp;VLOOKUP($C$8,$BL$5:$BO$13,4,FALSE)&amp;" o imposto sobre o valor acrescentado), qui a été utilisé de référence dans "&amp;BK4-1&amp;", pour estimer le prix minimum Fairtrade pour les bananes Fairtrade de "&amp;$BL$14&amp;":"))</f>
        <v/>
      </c>
      <c r="CQ16" s="52" t="str">
        <f>IF(BQ14=FALSE,"",
IF($BP$14=0,"",
"• Preço standard da caixa de cartão ("&amp;VLOOKUP($C$8,$BL$5:$BO$13,4,FALSE)&amp;" o imposto sobre o valor acrescentado), que foi utilizado como referência en "&amp;BK4-1&amp;", para estimar o Preço Mínimo de Comércio Justo para bananas de Comércio Justo de "&amp;$BL$14&amp;":"))</f>
        <v/>
      </c>
      <c r="CR16" s="52" t="str">
        <f>IF(BQ14=FALSE,"",
IF($BP$14=0,"",
"• Precio de la caja de cartón estándar ("&amp;VLOOKUP($C$8,$BL$5:$BO$13,4,FALSE)&amp;" el impuesto al valor agregado), que se utilizó como referencia en "&amp;BK4-1&amp;", para estimar el Precio Mínimo Fairtrade para banano Fairtrade de "&amp;$BL$14&amp;":"))</f>
        <v/>
      </c>
    </row>
    <row r="17" spans="1:96" ht="37.200000000000003" customHeight="1" x14ac:dyDescent="0.3">
      <c r="A17" s="32"/>
      <c r="B17" s="9" t="str">
        <f>IF(OR($AQ$8,ISBLANK($D$2),B12&lt;&gt;""),"",
IF($D$2=$CJ$4,CO48,
IF($D$2=$CJ$5,CP48,
IF($D$2=$CJ$6,CQ48,
CR48))))</f>
        <v/>
      </c>
      <c r="C17" s="3"/>
      <c r="D17" s="11" t="str">
        <f>D16</f>
        <v/>
      </c>
      <c r="E17" s="127"/>
      <c r="AO17" s="64" t="str">
        <f>BA15&amp;AZ19</f>
        <v>Englishbanana convencional de comércio justo</v>
      </c>
      <c r="AP17" s="65" t="str">
        <f>AP15</f>
        <v>conventional Fairtrade banana</v>
      </c>
      <c r="AQ17" s="41" t="s">
        <v>19</v>
      </c>
      <c r="AY17" s="44" t="str">
        <f t="shared" si="4"/>
        <v>Françaisbanane conventionnelle du commerce équitable</v>
      </c>
      <c r="AZ17" s="96" t="str">
        <f>BE21</f>
        <v>banane conventionnelle du commerce équitable</v>
      </c>
      <c r="BA17" s="72" t="str">
        <f>BE4</f>
        <v>Français</v>
      </c>
      <c r="BD17" s="61" t="s">
        <v>6</v>
      </c>
      <c r="BE17" s="62" t="s">
        <v>42</v>
      </c>
      <c r="BF17" s="62" t="s">
        <v>38</v>
      </c>
      <c r="BG17" s="63" t="s">
        <v>38</v>
      </c>
      <c r="BH17" s="1" t="s">
        <v>19</v>
      </c>
      <c r="BN17" s="133" t="b">
        <f>BN15=BN14</f>
        <v>0</v>
      </c>
      <c r="CO17" s="52" t="str">
        <f>IF(BQ14=FALSE,"",
IF($BP$14=0,"",
"• Banana volume per standard carton box (that was used as unit of measurement for estimating the Fairtrade Minimum Price for Fairtrade banana from "&amp;$BL$14&amp;"):"))</f>
        <v/>
      </c>
      <c r="CP17" s="52" t="str">
        <f>IF(BQ14=FALSE,"",
IF($BP$14=0,"",
"• Volume de bananes par carton standard (qui a été utilisé comme unité de mesure pour estimer le prix minimum du commerce équitable pour les bananes Fairtrade de "&amp;$BL$14&amp;"):"))</f>
        <v/>
      </c>
      <c r="CQ17" s="52" t="str">
        <f>IF(BQ14=FALSE,"",
IF($BP$14=0,"",
"• Volume de bananas por caixa padrão (que foi utilizada como unidade de medida para estimar o Preço Mínimo de Comércio Justo para bananas de Comércio Justo de "&amp;$BL$14&amp;"):"))</f>
        <v/>
      </c>
      <c r="CR17" s="52" t="str">
        <f>IF(BQ14=FALSE,"",
IF($BP$14=0,"",
"• Volumen de banano por caja de cartón estándar (que se utilizó como unidad de medida para estimar el Precio Mínimo Fairtrade para banano Fairtrade de "&amp;$BL$14&amp;"):"))</f>
        <v/>
      </c>
    </row>
    <row r="18" spans="1:96" ht="37.200000000000003" customHeight="1" x14ac:dyDescent="0.3">
      <c r="A18" s="32"/>
      <c r="B18" s="9" t="str">
        <f>IF(OR($AQ$8,ISBLANK($D$2),ISBLANK($C$17),B12&lt;&gt;""),"",
IF($D$2=$CJ$4,CO35,
IF($D$2=$CJ$5,CP35,
IF($D$2=$CJ$6,CQ35,
CR35))))</f>
        <v/>
      </c>
      <c r="C18" s="10" t="str">
        <f>IF(OR($AQ$8,ISBLANK($D$2),ISBLANK($C$17),B12&lt;&gt;""),"",
IF(BQ14=FALSE,"",
IF($BP$14=0,"",
18.14)))</f>
        <v/>
      </c>
      <c r="D18" s="11" t="str">
        <f>IF(OR($AQ$8,ISBLANK($D$2),ISBLANK($C$17),B12&lt;&gt;""),"",
IF(BQ14=FALSE,"",
IF($BP$14=0,"",
"kg")))</f>
        <v/>
      </c>
      <c r="E18" s="33"/>
      <c r="AO18" s="64" t="str">
        <f>BA16&amp;AZ20</f>
        <v>Englishbanana biológica de comércio justo</v>
      </c>
      <c r="AP18" s="65" t="str">
        <f t="shared" ref="AP18:AP20" si="5">AP16</f>
        <v>organic Fairtrade banana</v>
      </c>
      <c r="AQ18" s="41" t="s">
        <v>19</v>
      </c>
      <c r="AY18" s="44" t="str">
        <f t="shared" si="4"/>
        <v>Françaisbanane biologique du commerce équitable</v>
      </c>
      <c r="AZ18" s="96" t="str">
        <f>BE22</f>
        <v>banane biologique du commerce équitable</v>
      </c>
      <c r="BA18" s="72" t="str">
        <f>BE4</f>
        <v>Français</v>
      </c>
      <c r="BD18" s="61" t="s">
        <v>3</v>
      </c>
      <c r="BE18" s="62" t="s">
        <v>3</v>
      </c>
      <c r="BF18" s="62" t="s">
        <v>45</v>
      </c>
      <c r="BG18" s="63" t="s">
        <v>3</v>
      </c>
      <c r="CO18" s="52" t="s">
        <v>10</v>
      </c>
      <c r="CP18" s="52" t="s">
        <v>58</v>
      </c>
      <c r="CQ18" s="52" t="s">
        <v>57</v>
      </c>
      <c r="CR18" s="52" t="s">
        <v>26</v>
      </c>
    </row>
    <row r="19" spans="1:96" ht="15" customHeight="1" x14ac:dyDescent="0.3">
      <c r="A19" s="32"/>
      <c r="B19" s="20" t="str">
        <f>IF(OR($AQ$8,ISBLANK($D$2)),"",
IF($D$2=$CJ$4,CO36,
IF($D$2=$CJ$5,CP36,
IF($D$2=$CJ$6,CQ36,
CR36))))</f>
        <v/>
      </c>
      <c r="C19" s="21"/>
      <c r="D19" s="22"/>
      <c r="E19" s="33"/>
      <c r="F19" s="173"/>
      <c r="G19" s="173"/>
      <c r="AO19" s="64" t="str">
        <f>BA15&amp;AZ21</f>
        <v>Englishbanano Fairtrade convencional</v>
      </c>
      <c r="AP19" s="65" t="str">
        <f t="shared" si="5"/>
        <v>conventional Fairtrade banana</v>
      </c>
      <c r="AQ19" s="41" t="s">
        <v>19</v>
      </c>
      <c r="AY19" s="44" t="str">
        <f>BA19&amp;AZ19</f>
        <v>Portuguêsbanana convencional de comércio justo</v>
      </c>
      <c r="AZ19" s="96" t="str">
        <f>BF21</f>
        <v>banana convencional de comércio justo</v>
      </c>
      <c r="BA19" s="72" t="str">
        <f>BF4</f>
        <v>Português</v>
      </c>
      <c r="BD19" s="64" t="s">
        <v>90</v>
      </c>
      <c r="BE19" s="1" t="s">
        <v>92</v>
      </c>
      <c r="BF19" s="1" t="s">
        <v>93</v>
      </c>
      <c r="BG19" s="65" t="s">
        <v>91</v>
      </c>
      <c r="CK19" s="130"/>
      <c r="CO19" s="52" t="str">
        <f>IF(BQ14=FALSE,"",
IF($BP$14=0,"",
"• "&amp;$C$11&amp;" Fairtrade Minimum Price "&amp;$BK$4&amp;", in US dollars per box of 18.14kg of "&amp;$C$9&amp;" from "&amp;$BL$14&amp;":"))</f>
        <v/>
      </c>
      <c r="CP19" s="52" t="str">
        <f>IF(BQ14=FALSE,"",
IF($BP$14=0,"",
"• Prix minimum Fairtrade "&amp;$C$11&amp;" "&amp;$BK$4&amp;", en dollars US par cas de 18.14kg de "&amp;$C$9&amp;" de "&amp;$BL$14&amp;":"))</f>
        <v/>
      </c>
      <c r="CQ19" s="52" t="str">
        <f>IF(BQ14=FALSE,"",
IF($BP$14=0,"",
"• Preço Mínimo de Comércio Justo "&amp;$C$11&amp;" "&amp;$BK$4&amp;", em dólares americanos por caixa de 18.14kg de "&amp;$C$9&amp;" de "&amp;$BL$14&amp;":"))</f>
        <v/>
      </c>
      <c r="CR19" s="52" t="str">
        <f>IF(BQ14=FALSE,"",
IF($BP$14=0,"",
"• Precio Mínimo Fairtrade "&amp;$C$11&amp;" "&amp;$BK$4&amp;", en US dólares por caja de 18.14kg de "&amp;$C$9&amp;" de "&amp;$BL$14&amp;":"))</f>
        <v/>
      </c>
    </row>
    <row r="20" spans="1:96" ht="32.4" customHeight="1" x14ac:dyDescent="0.3">
      <c r="A20" s="32"/>
      <c r="B20" s="14" t="str">
        <f>IF(OR($AQ$8,ISBLANK($D$2),ISBLANK($C$17),B12&lt;&gt;""),"",
IF($D$2=$CJ$4,CO37,
IF($D$2=$CJ$5,CP37,
IF($D$2=$CJ$6,CQ37,
CR37))))</f>
        <v/>
      </c>
      <c r="C20" s="13" t="str">
        <f>IF(OR($AQ$8,ISBLANK($D$2),ISBLANK($C$17)),"",
$CD$114)</f>
        <v/>
      </c>
      <c r="D20" s="11" t="str">
        <f>IF(ISBLANK($C$17),"",D16)</f>
        <v/>
      </c>
      <c r="E20" s="33"/>
      <c r="AO20" s="64" t="str">
        <f>BA16&amp;AZ22</f>
        <v xml:space="preserve">Englishbanano Fairtrade orgánico </v>
      </c>
      <c r="AP20" s="65" t="str">
        <f t="shared" si="5"/>
        <v>organic Fairtrade banana</v>
      </c>
      <c r="AQ20" s="41" t="s">
        <v>19</v>
      </c>
      <c r="AY20" s="44" t="str">
        <f>BA20&amp;AZ20</f>
        <v>Portuguêsbanana biológica de comércio justo</v>
      </c>
      <c r="AZ20" s="96" t="str">
        <f>BF22</f>
        <v>banana biológica de comércio justo</v>
      </c>
      <c r="BA20" s="72" t="str">
        <f>BF4</f>
        <v>Português</v>
      </c>
      <c r="BD20" s="66" t="s">
        <v>12</v>
      </c>
      <c r="BE20" s="67" t="s">
        <v>49</v>
      </c>
      <c r="BF20" s="67" t="s">
        <v>46</v>
      </c>
      <c r="BG20" s="68" t="s">
        <v>32</v>
      </c>
      <c r="BL20" s="50"/>
      <c r="CK20" s="176"/>
      <c r="CO20" s="52" t="str">
        <f>IF(BQ14=FALSE,"",
IF(OR($C$11=$BV$6,$AQ$8,ISBLANK($D$2)),"",
"• Ex Works Fairtrade Minimum Price "&amp;$BK$4&amp;", in US dollars per box of 18.14kg of "&amp;$C$9&amp;" from "&amp;$BL$14&amp;":"))</f>
        <v/>
      </c>
      <c r="CP20" s="52" t="str">
        <f>IF(BQ14=FALSE,"",
IF(OR($C$11=$BV$6,$AQ$8,ISBLANK($D$2)),"",
"• Prix minimum Fairtrade Ex Works "&amp;$BK$4&amp;", en dollars US par cas de 18.14kg de "&amp;$C$9&amp;" de "&amp;$BL$14&amp;":"))</f>
        <v/>
      </c>
      <c r="CQ20" s="52" t="str">
        <f>IF(BQ14=FALSE,"",
IF(OR($C$11=$BV$6,$AQ$8,ISBLANK($D$2)),"",
"• Preço Mínimo Fairtrade Ex Works "&amp;$BK$4&amp;", em dólares americanos por caixa de 18.14kg de "&amp;$C$9&amp;" de "&amp;$BL$14&amp;":"))</f>
        <v/>
      </c>
      <c r="CR20" s="52" t="str">
        <f>IF(BQ14=FALSE,"",
IF(OR($C$11=$BV$6,$AQ$8,ISBLANK($D$2)),"",
"• Precio Mínimo Fairtrade Ex Works "&amp;$BK$4&amp;", en US dólares por caja de 18.14kg de "&amp;$C$9&amp;" de "&amp;$BL$14&amp;":"))</f>
        <v/>
      </c>
    </row>
    <row r="21" spans="1:96" ht="32.4" customHeight="1" x14ac:dyDescent="0.3">
      <c r="A21" s="32"/>
      <c r="B21" s="14" t="str">
        <f>IF(OR($AQ$8,ISBLANK($D$2),ISBLANK($C$17),B12&lt;&gt;""),"",
IF($D$2=$CJ$4,CO49,
IF($D$2=$CJ$5,CP49,
IF($D$2=$CJ$6,CQ49,
CR49))))</f>
        <v/>
      </c>
      <c r="C21" s="13" t="str">
        <f>IF(OR($AQ$8,ISBLANK($D$2),ISBLANK($C$17)),"","= ("&amp;C20&amp;" - "&amp;C16&amp;") = "&amp;C20-C16)</f>
        <v/>
      </c>
      <c r="D21" s="11" t="str">
        <f>D20</f>
        <v/>
      </c>
      <c r="E21" s="33"/>
      <c r="AO21" s="64" t="str">
        <f>BA17&amp;AZ15</f>
        <v>Françaisconventional Fairtrade banana</v>
      </c>
      <c r="AP21" s="65" t="str">
        <f>AZ17</f>
        <v>banane conventionnelle du commerce équitable</v>
      </c>
      <c r="AQ21" s="41" t="s">
        <v>19</v>
      </c>
      <c r="AR21" s="1" t="s">
        <v>111</v>
      </c>
      <c r="AY21" s="44" t="str">
        <f>BA21&amp;AZ21</f>
        <v>Españolbanano Fairtrade convencional</v>
      </c>
      <c r="AZ21" s="96" t="str">
        <f>BG21</f>
        <v>banano Fairtrade convencional</v>
      </c>
      <c r="BA21" s="72" t="str">
        <f>BG4</f>
        <v>Español</v>
      </c>
      <c r="BD21" s="66" t="s">
        <v>8</v>
      </c>
      <c r="BE21" s="86" t="s">
        <v>50</v>
      </c>
      <c r="BF21" s="86" t="s">
        <v>47</v>
      </c>
      <c r="BG21" s="68" t="s">
        <v>33</v>
      </c>
      <c r="BH21" s="56" t="str">
        <f>IF($D$2=$CJ$4,BD21,
IF($D$2=$CJ$5,BE21,
IF($D$2=$CJ$6,BF21,
BG21)))</f>
        <v>banano Fairtrade convencional</v>
      </c>
      <c r="BJ21" s="109" t="str">
        <f>IF(OR(C9=BD21,C9=BE21,C9=BF21,C9=BG21),"conv","org")</f>
        <v>org</v>
      </c>
      <c r="CO21" s="52" t="s">
        <v>11</v>
      </c>
      <c r="CP21" s="52" t="s">
        <v>59</v>
      </c>
      <c r="CQ21" s="52" t="s">
        <v>60</v>
      </c>
      <c r="CR21" s="52" t="s">
        <v>27</v>
      </c>
    </row>
    <row r="22" spans="1:96" ht="32.4" customHeight="1" x14ac:dyDescent="0.3">
      <c r="A22" s="32"/>
      <c r="B22" s="14" t="str">
        <f>IF(OR($AQ$8,ISBLANK($D$2),ISBLANK($C$17),B12&lt;&gt;""),"",
IF($D$2=$CJ$4,CO50,
IF($D$2=$CJ$5,CP50,
IF($D$2=$CJ$6,CQ50,
CR50))))</f>
        <v/>
      </c>
      <c r="C22" s="13" t="str">
        <f>IF(OR($AQ$8,ISBLANK($D$2),ISBLANK($C$17)),"","= ("&amp;C20-C16&amp;" + "&amp;C17&amp;") = "&amp;C20-C16+C17)</f>
        <v/>
      </c>
      <c r="D22" s="11" t="str">
        <f>D21</f>
        <v/>
      </c>
      <c r="E22" s="33"/>
      <c r="AO22" s="64" t="str">
        <f>BA18&amp;AZ16</f>
        <v>Françaisorganic Fairtrade banana</v>
      </c>
      <c r="AP22" s="65" t="str">
        <f>AZ18</f>
        <v>banane biologique du commerce équitable</v>
      </c>
      <c r="AQ22" s="41" t="s">
        <v>19</v>
      </c>
      <c r="AR22" s="93"/>
      <c r="AU22" s="93"/>
      <c r="AY22" s="46" t="str">
        <f>BA22&amp;AZ22</f>
        <v xml:space="preserve">Españolbanano Fairtrade orgánico </v>
      </c>
      <c r="AZ22" s="110" t="str">
        <f>BG22</f>
        <v xml:space="preserve">banano Fairtrade orgánico </v>
      </c>
      <c r="BA22" s="73" t="str">
        <f>BG4</f>
        <v>Español</v>
      </c>
      <c r="BD22" s="66" t="s">
        <v>9</v>
      </c>
      <c r="BE22" s="86" t="s">
        <v>81</v>
      </c>
      <c r="BF22" s="86" t="s">
        <v>48</v>
      </c>
      <c r="BG22" s="68" t="s">
        <v>34</v>
      </c>
      <c r="BH22" s="57" t="str">
        <f>IF($D$2=$CJ$4,BD22,
IF($D$2=$CJ$5,BE22,
IF($D$2=$CJ$6,BF22,
BG22)))</f>
        <v xml:space="preserve">banano Fairtrade orgánico </v>
      </c>
      <c r="BN22" s="106"/>
      <c r="CO22" s="52" t="str">
        <f>IF(BQ14=FALSE,"",
IF($BP$14=0,"",
"• Banana volume per special carton box (for which the Fairtrade Minimum Price will be prorated):"))</f>
        <v/>
      </c>
      <c r="CP22" s="52" t="str">
        <f>IF(BQ14=FALSE,"",
IF($BP$14=0,"",
"• Volume de bananes par carton spécial (pour lequel le prix minimum Fairtrade sera calculé au prorata):"))</f>
        <v/>
      </c>
      <c r="CQ22" s="52" t="str">
        <f>IF(BQ14=FALSE,"",
IF($BP$14=0,"",
"• Volume de bananas por caixa especial (para a qual o Preço Mínimo de Comércio Justo será pro-rated):"))</f>
        <v/>
      </c>
      <c r="CR22" s="52" t="str">
        <f>IF(BQ14=FALSE,"",
IF($BP$14=0,"",
"• Volumen de banano por caja de cartón especial (para la cual el Precio Mínimo Fairtrade será prorrateado):"))</f>
        <v/>
      </c>
    </row>
    <row r="23" spans="1:96" ht="32.4" customHeight="1" x14ac:dyDescent="0.3">
      <c r="A23" s="32"/>
      <c r="B23" s="15" t="str">
        <f>IF(OR($AQ$8,ISBLANK($D$2),ISBLANK($C$17),B12&lt;&gt;""),"",
IF($D$2=$CJ$4,CO38,
IF($D$2=$CJ$5,CP38,
IF($D$2=$CJ$6,CQ38,
CR38))))</f>
        <v/>
      </c>
      <c r="C23" s="23" t="str">
        <f>IF(OR($AQ$8,ISBLANK($D$2),ISBLANK($C$17)),"",
$CC$114)</f>
        <v/>
      </c>
      <c r="D23" s="12" t="str">
        <f>D20</f>
        <v/>
      </c>
      <c r="E23" s="33"/>
      <c r="AO23" s="64" t="str">
        <f>BA17&amp;AZ19</f>
        <v>Françaisbanana convencional de comércio justo</v>
      </c>
      <c r="AP23" s="65" t="str">
        <f>AP21</f>
        <v>banane conventionnelle du commerce équitable</v>
      </c>
      <c r="AQ23" s="41">
        <v>1</v>
      </c>
      <c r="AR23" s="105" t="str">
        <f t="shared" ref="AR23:AR31" si="6">BA23&amp;AZ32</f>
        <v>EnglishPanama</v>
      </c>
      <c r="AS23" s="43" t="str">
        <f t="shared" ref="AS23:AS31" si="7">AZ23</f>
        <v>Panama</v>
      </c>
      <c r="AT23" s="106" t="s">
        <v>95</v>
      </c>
      <c r="AU23" s="41" t="s">
        <v>97</v>
      </c>
      <c r="AV23" s="41"/>
      <c r="AX23" s="1" t="s">
        <v>136</v>
      </c>
      <c r="AY23" s="42" t="str">
        <f t="shared" si="4"/>
        <v>EnglishPanama</v>
      </c>
      <c r="AZ23" s="43" t="str">
        <f t="shared" ref="AZ23:AZ30" si="8">BD11</f>
        <v>Panama</v>
      </c>
      <c r="BA23" s="71" t="str">
        <f>BD4</f>
        <v>English</v>
      </c>
      <c r="BD23" s="64" t="s">
        <v>69</v>
      </c>
      <c r="BE23" s="1" t="s">
        <v>70</v>
      </c>
      <c r="BF23" s="1" t="s">
        <v>71</v>
      </c>
      <c r="BG23" s="65" t="s">
        <v>75</v>
      </c>
      <c r="BH23" s="56" t="str">
        <f>IF($D$2=$CJ$4,BD23,
IF($D$2=$CJ$5,BE23,
IF($D$2=$CJ$6,BF23,
BG23)))</f>
        <v>orgánica</v>
      </c>
      <c r="BN23" s="106"/>
      <c r="CO23" s="52" t="str">
        <f>IF(BQ14=FALSE,"",
IF($BP$14=0,"",
IF(ISBLANK(#REF!),"",
IF($C$11=$BV$5,
"• Price of the special carton box ("&amp;VLOOKUP($C$8,$BL$5:$BO$13,4,FALSE)&amp;" the value added tax), paid by the producer that exports by themselves:",
IF($C$11=$BV$6,
"• Price of the special carton box ("&amp;VLOOKUP($C$8,$BL$5:$BO$13,4,FALSE)&amp;" the value added tax), paid by the producer at Ex Works level:")))))</f>
        <v/>
      </c>
      <c r="CP23" s="52" t="str">
        <f>IF(BQ14=FALSE,"",
IF($BP$14=0,"",
IF(ISBLANK(#REF!),"",
IF($C$11=$BV$5,
"• Prix spécial pour les boîtes en carton ("&amp;VLOOKUP($C$8,$BL$5:$BO$13,4,FALSE)&amp;" la taxe sur la valeur ajoutée), payée par le producteur qui exporte lui-même:",
IF($C$11=$BV$6,
"• Prix spécial pour les boîtes en carton ("&amp;VLOOKUP($C$8,$BL$5:$BO$13,4,FALSE)&amp;" taxe sur la valeur ajoutée), payé par le producteur au niveau Ex Works:")))))</f>
        <v/>
      </c>
      <c r="CQ23" s="52" t="str">
        <f>IF(BQ14=FALSE,"",
IF($BP$14=0,"",
IF(ISBLANK(#REF!),"",
IF($C$11=$BV$5,
"• Preço de caixa de cartão especial ("&amp;VLOOKUP($C$8,$BL$5:$BO$13,4,FALSE)&amp;" o imposto sobre o valor acrescentado), pago pelo próprio produtor que exporta:",
IF($C$11=$BV$6,
"• Preço de caixa de cartão especial ("&amp;VLOOKUP($C$8,$BL$5:$BO$13,4,FALSE)&amp;" imposto sobre o valor acrescentado), pago pelo produtor a nível de Ex Works:")))))</f>
        <v/>
      </c>
      <c r="CR23" s="52" t="str">
        <f>IF(BQ14=FALSE,"",
IF($BP$14=0,"",
IF(ISBLANK(#REF!),"",
IF($C$11=$BV$5,
"• Precio de la caja de cartón especial ("&amp;VLOOKUP($C$8,$BL$5:$BO$13,4,FALSE)&amp;" el impuesto al valor agregado), pagado por el productor que exporta por sí mismo:",
IF($C$11=$BV$6,
"• Precio de la caja de cartón especial ("&amp;VLOOKUP($C$8,$BL$5:$BO$13,4,FALSE)&amp;" el impuesto al valor agregado), pagado por el productor a nivel Ex Works:")))))</f>
        <v/>
      </c>
    </row>
    <row r="24" spans="1:96" ht="15" customHeight="1" x14ac:dyDescent="0.3">
      <c r="A24" s="32"/>
      <c r="B24" s="16" t="str">
        <f>IF(OR($AQ$8,ISBLANK($D$2)),"",
IF($D$2=$CJ$4,CO39,
IF($D$2=$CJ$5,CP39,
IF($D$2=$CJ$6,CQ39,
CR39))))</f>
        <v/>
      </c>
      <c r="C24" s="13"/>
      <c r="D24" s="11"/>
      <c r="E24" s="33"/>
      <c r="AO24" s="64" t="str">
        <f>BA18&amp;AZ20</f>
        <v>Françaisbanana biológica de comércio justo</v>
      </c>
      <c r="AP24" s="65" t="str">
        <f t="shared" ref="AP24:AP26" si="9">AP22</f>
        <v>banane biologique du commerce équitable</v>
      </c>
      <c r="AQ24" s="41">
        <v>2</v>
      </c>
      <c r="AR24" s="44" t="str">
        <f t="shared" si="6"/>
        <v>EnglishPérou</v>
      </c>
      <c r="AS24" s="45" t="str">
        <f t="shared" si="7"/>
        <v>Peru</v>
      </c>
      <c r="AT24" s="41"/>
      <c r="AU24" s="41"/>
      <c r="AV24" s="41"/>
      <c r="AY24" s="44" t="str">
        <f t="shared" si="4"/>
        <v>EnglishPeru</v>
      </c>
      <c r="AZ24" s="45" t="str">
        <f t="shared" si="8"/>
        <v>Peru</v>
      </c>
      <c r="BA24" s="72" t="str">
        <f>BD4</f>
        <v>English</v>
      </c>
      <c r="BD24" s="69" t="s">
        <v>72</v>
      </c>
      <c r="BE24" s="70" t="s">
        <v>73</v>
      </c>
      <c r="BF24" s="70" t="s">
        <v>74</v>
      </c>
      <c r="BG24" s="57" t="s">
        <v>74</v>
      </c>
      <c r="BH24" s="57" t="str">
        <f>IF($D$2=$CJ$4,BD24,
IF($D$2=$CJ$5,BE24,
IF($D$2=$CJ$6,BF24,
BG24)))</f>
        <v>convencional</v>
      </c>
      <c r="BN24" s="106"/>
      <c r="CO24" s="52" t="s">
        <v>22</v>
      </c>
      <c r="CP24" s="52" t="s">
        <v>62</v>
      </c>
      <c r="CQ24" s="52" t="s">
        <v>61</v>
      </c>
      <c r="CR24" s="52" t="s">
        <v>28</v>
      </c>
    </row>
    <row r="25" spans="1:96" ht="20.399999999999999" customHeight="1" x14ac:dyDescent="0.3">
      <c r="A25" s="32"/>
      <c r="B25" s="14" t="str">
        <f>IF(OR($AQ$8,ISBLANK($D$2),ISBLANK($C$17),B12&lt;&gt;""),"",
IF($D$2=$CJ$4,CO40,
IF($D$2=$CJ$5,CP40,
IF($D$2=$CJ$6,CQ40,
CR40))))</f>
        <v/>
      </c>
      <c r="C25" s="3"/>
      <c r="D25" s="24" t="str">
        <f>D18</f>
        <v/>
      </c>
      <c r="E25" s="33"/>
      <c r="AO25" s="64" t="str">
        <f>BA17&amp;AZ21</f>
        <v>Françaisbanano Fairtrade convencional</v>
      </c>
      <c r="AP25" s="65" t="str">
        <f t="shared" si="9"/>
        <v>banane conventionnelle du commerce équitable</v>
      </c>
      <c r="AQ25" s="41">
        <v>3</v>
      </c>
      <c r="AR25" s="44" t="str">
        <f t="shared" si="6"/>
        <v>EnglishColombie</v>
      </c>
      <c r="AS25" s="45" t="str">
        <f t="shared" si="7"/>
        <v>Colombia</v>
      </c>
      <c r="AT25" s="41"/>
      <c r="AU25" s="41"/>
      <c r="AV25" s="41"/>
      <c r="AY25" s="44" t="str">
        <f t="shared" si="4"/>
        <v>EnglishColombia</v>
      </c>
      <c r="AZ25" s="45" t="str">
        <f t="shared" si="8"/>
        <v>Colombia</v>
      </c>
      <c r="BA25" s="72" t="str">
        <f>BD4</f>
        <v>English</v>
      </c>
      <c r="BE25" s="1" t="s">
        <v>19</v>
      </c>
      <c r="BN25" s="106"/>
      <c r="CO25" s="52" t="str">
        <f>IF(BQ14=FALSE,"",
IF($BP$14=0,"",
IF($BJ$14,"",
"• Prorated "&amp;$C$11&amp;" Fairtrade Minimum Price "&amp;$BK$4&amp;" per special carton box of "&amp;#REF!&amp;"kg of "&amp;$C$9&amp;" from "&amp;C8&amp;":")))</f>
        <v/>
      </c>
      <c r="CP25" s="52" t="str">
        <f>IF(BQ14=FALSE,"",
IF($BP$14=0,"",
IF($BJ$14,"",
"• Prix minimum Fairtrade "&amp;$C$11&amp;" "&amp;$BK$4&amp;" Répartition pour une boîte en carton spéciale de "&amp;#REF!&amp;"kg de "&amp;$C$9&amp;" de "&amp;C8&amp;":")))</f>
        <v/>
      </c>
      <c r="CQ25" s="52" t="str">
        <f>IF(BQ14=FALSE,"",
IF($BP$14=0,"",
IF($BJ$14,"",
"• Preço Mínimo Fairtrade "&amp;$C$11&amp;" "&amp;$BK$4&amp;" Distribuída por caixa de cartão especial de "&amp;#REF!&amp;"kg de "&amp;$C$9&amp;" de "&amp;C8&amp;":")))</f>
        <v/>
      </c>
      <c r="CR25" s="52" t="str">
        <f>IF(BQ14=FALSE,"",
IF($BP$14=0,"",
IF($BJ$14,"",
"• Precio Mínimo Fairtrade "&amp;$C$11&amp;" "&amp;$BK$4&amp;" Prorrateado para caja de cartón especial de "&amp;#REF!&amp;"kg de "&amp;$C$9&amp;" de "&amp;C8&amp;":")))</f>
        <v/>
      </c>
    </row>
    <row r="26" spans="1:96" ht="64.2" customHeight="1" x14ac:dyDescent="0.3">
      <c r="A26" s="32"/>
      <c r="B26" s="14" t="str">
        <f>IF(OR($AQ$8,ISBLANK($D$2),ISBLANK($C$17),B12&lt;&gt;""),"",
IF($D$2=$CJ$4,CO41,
IF($D$2=$CJ$5,CP41,
IF($D$2=$CJ$6,CQ41,
CR41))))</f>
        <v/>
      </c>
      <c r="C26" s="3"/>
      <c r="D26" s="11" t="str">
        <f>IF(BQ14=FALSE,"",
IF(OR(ISBLANK($C$25),B12&lt;&gt;""),"",
IF(C16="","",
IF(OR($C$8=BD16,$C$8=BE16,$C$8=BF16,$C$8=BG16,$C$8=BD19,$C$8=BE19,$C$8=BF19,$C$8=BG19),"EUR/IFCOcrate"&amp;$C$25&amp;"kg",
"USD/IFCOcrate"&amp;$C$25&amp;"kg"))))</f>
        <v/>
      </c>
      <c r="E26" s="33"/>
      <c r="AO26" s="64" t="str">
        <f>BA18&amp;AZ22</f>
        <v xml:space="preserve">Françaisbanano Fairtrade orgánico </v>
      </c>
      <c r="AP26" s="65" t="str">
        <f t="shared" si="9"/>
        <v>banane biologique du commerce équitable</v>
      </c>
      <c r="AQ26" s="41">
        <v>4</v>
      </c>
      <c r="AR26" s="44" t="str">
        <f t="shared" si="6"/>
        <v>EnglishÉquateur</v>
      </c>
      <c r="AS26" s="45" t="str">
        <f t="shared" si="7"/>
        <v>Ecuador</v>
      </c>
      <c r="AT26" s="41"/>
      <c r="AU26" s="41"/>
      <c r="AV26" s="41"/>
      <c r="AY26" s="44" t="str">
        <f t="shared" si="4"/>
        <v>EnglishEcuador</v>
      </c>
      <c r="AZ26" s="45" t="str">
        <f t="shared" si="8"/>
        <v>Ecuador</v>
      </c>
      <c r="BA26" s="72" t="str">
        <f>BD4</f>
        <v>English</v>
      </c>
      <c r="BE26" s="1" t="s">
        <v>19</v>
      </c>
      <c r="BN26" s="106"/>
    </row>
    <row r="27" spans="1:96" ht="20.399999999999999" customHeight="1" x14ac:dyDescent="0.3">
      <c r="A27" s="32"/>
      <c r="B27" s="20" t="str">
        <f>IF(OR($AQ$8,ISBLANK($D$2)),"",
IF($D$2=$CJ$4,CO42,
IF($D$2=$CJ$5,CP42,
IF($D$2=$CJ$6,CQ42,
CR42))))</f>
        <v/>
      </c>
      <c r="C27" s="21"/>
      <c r="D27" s="22"/>
      <c r="E27" s="33"/>
      <c r="G27" s="173"/>
      <c r="AO27" s="64" t="str">
        <f>BA19&amp;AZ15</f>
        <v>Portuguêsconventional Fairtrade banana</v>
      </c>
      <c r="AP27" s="65" t="str">
        <f>AZ19</f>
        <v>banana convencional de comércio justo</v>
      </c>
      <c r="AQ27" s="41">
        <v>5</v>
      </c>
      <c r="AR27" s="44" t="str">
        <f t="shared" si="6"/>
        <v>EnglishSainte-Lucie</v>
      </c>
      <c r="AS27" s="45" t="str">
        <f t="shared" si="7"/>
        <v>Saint Lucia</v>
      </c>
      <c r="AT27" s="41"/>
      <c r="AU27" s="41"/>
      <c r="AV27" s="41"/>
      <c r="AY27" s="44" t="str">
        <f t="shared" si="4"/>
        <v>EnglishSaint Lucia</v>
      </c>
      <c r="AZ27" s="45" t="str">
        <f t="shared" si="8"/>
        <v>Saint Lucia</v>
      </c>
      <c r="BA27" s="72" t="str">
        <f>BD4</f>
        <v>English</v>
      </c>
      <c r="BE27" s="1" t="s">
        <v>19</v>
      </c>
      <c r="BN27" s="106"/>
      <c r="CO27" s="52" t="str">
        <f>IF(BQ14=FALSE,"",
IF($BP$14=0,"",
IF($BJ$14,"",
IF(OR($C$11=$BV$6,#REF!=""),"",
"• Prorated Ex Works Fairtrade Minimum Price "&amp;$BK$4&amp;" per special carton box of "&amp;#REF!&amp;"kg of "&amp;$C$9&amp;" from "&amp;C8&amp;":"))))</f>
        <v/>
      </c>
      <c r="CP27" s="52" t="str">
        <f>IF(BQ14=FALSE,"",
IF($BP$14=0,"",
IF($BJ$14,"",
IF(OR($C$11=$BV$6,#REF!=""),"",
"• Prix minimum Fairtrade Ex Works "&amp;$BK$4&amp;" Répartition pour une boîte en carton spéciale de "&amp;#REF!&amp;"kg de "&amp;$C$9&amp;" de "&amp;C8&amp;":"))))</f>
        <v/>
      </c>
      <c r="CQ27" s="52" t="str">
        <f>IF(BQ14=FALSE,"",
IF($BP$14=0,"",
IF($BJ$14,"",
IF(OR($C$11=$BV$6,#REF!=""),"",
"• Preço Mínimo Fairtrade Ex Works "&amp;$BK$4&amp;" Distribuída por caixa de cartão especial de "&amp;#REF!&amp;"kg de "&amp;$C$9&amp;" de "&amp;C8&amp;":"))))</f>
        <v/>
      </c>
      <c r="CR27" s="52" t="str">
        <f>IF(BQ14=FALSE,"",
IF($BP$14=0,"",
IF($BJ$14,"",
IF(OR($C$11=$BV$6,#REF!=""),"",
"• Precio Mínimo Fairtrade Ex Works "&amp;$BK$4&amp;" Prorrateado para caja de cartón especial de "&amp;#REF!&amp;"kg de "&amp;$C$9&amp;" de "&amp;C8&amp;":"))))</f>
        <v/>
      </c>
    </row>
    <row r="28" spans="1:96" ht="16.8" customHeight="1" x14ac:dyDescent="0.5">
      <c r="A28" s="32"/>
      <c r="B28" s="178" t="str">
        <f>IF(OR($AQ$8,ISBLANK($D$2),B12&lt;&gt;""),"",
IF($D$2=$CJ$4,CO43,
IF($D$2=$CJ$5,CP43,
IF($D$2=$CJ$6,CQ43,
CR43))))</f>
        <v/>
      </c>
      <c r="C28" s="26" t="str">
        <f>IF(BQ14=FALSE,"",
IF(OR(ISBLANK($C$25),ISBLANK($C$26)),"",
IF($C$20="","",
IF($C$11=$BV$5,ROUND((((C20-C16+C17-C17)/C18)*C25)+C26,2),
))))</f>
        <v/>
      </c>
      <c r="D28" s="25" t="str">
        <f>IF(BQ14=FALSE,"",
IF(OR(C16="",C25="",C26=""),"",D26))</f>
        <v/>
      </c>
      <c r="E28" s="33"/>
      <c r="G28" s="174"/>
      <c r="AO28" s="64" t="str">
        <f>BA20&amp;AZ16</f>
        <v>Portuguêsorganic Fairtrade banana</v>
      </c>
      <c r="AP28" s="65" t="str">
        <f>AZ20</f>
        <v>banana biológica de comércio justo</v>
      </c>
      <c r="AQ28" s="41">
        <v>6</v>
      </c>
      <c r="AR28" s="44" t="str">
        <f t="shared" si="6"/>
        <v>EnglishGhana</v>
      </c>
      <c r="AS28" s="45" t="str">
        <f t="shared" si="7"/>
        <v>Ghana</v>
      </c>
      <c r="AT28" s="41"/>
      <c r="AU28" s="41"/>
      <c r="AV28" s="41"/>
      <c r="AY28" s="44" t="str">
        <f t="shared" si="4"/>
        <v>EnglishGhana</v>
      </c>
      <c r="AZ28" s="45" t="str">
        <f t="shared" si="8"/>
        <v>Ghana</v>
      </c>
      <c r="BA28" s="72" t="str">
        <f>BD4</f>
        <v>English</v>
      </c>
      <c r="BE28" s="1" t="s">
        <v>19</v>
      </c>
      <c r="BH28" s="2"/>
      <c r="BN28" s="106"/>
    </row>
    <row r="29" spans="1:96" ht="16.8" customHeight="1" x14ac:dyDescent="0.5">
      <c r="A29" s="32"/>
      <c r="B29" s="178"/>
      <c r="C29" s="162" t="str">
        <f>IF(BQ14=FALSE,"",
IF(OR(ISBLANK($C$25),ISBLANK($C$26)),"",
IF($C$20="","",
" = [ (("&amp;$C$20&amp;"-"&amp;$C$16&amp;"+"&amp;C17&amp;") - "&amp;C17&amp;")/"&amp;$C$18&amp;" ]*"&amp;$C$25&amp;" + "&amp;$C$26&amp;" = "&amp;$C$28)))</f>
        <v/>
      </c>
      <c r="D29" s="11"/>
      <c r="E29" s="33"/>
      <c r="AO29" s="64" t="str">
        <f>BA19&amp;AZ17</f>
        <v>Portuguêsbanane conventionnelle du commerce équitable</v>
      </c>
      <c r="AP29" s="65" t="str">
        <f>AP27</f>
        <v>banana convencional de comércio justo</v>
      </c>
      <c r="AQ29" s="41">
        <v>7</v>
      </c>
      <c r="AR29" s="44" t="str">
        <f t="shared" si="6"/>
        <v>EnglishRépublique dominicaine</v>
      </c>
      <c r="AS29" s="45" t="str">
        <f t="shared" si="7"/>
        <v>Dominican Republic</v>
      </c>
      <c r="AT29" s="41"/>
      <c r="AU29" s="41"/>
      <c r="AV29" s="41"/>
      <c r="AY29" s="44" t="str">
        <f t="shared" si="4"/>
        <v>EnglishDominican Republic</v>
      </c>
      <c r="AZ29" s="45" t="str">
        <f t="shared" si="8"/>
        <v>Dominican Republic</v>
      </c>
      <c r="BA29" s="72" t="str">
        <f>BD4</f>
        <v>English</v>
      </c>
      <c r="BH29" s="2"/>
      <c r="BN29" s="106"/>
      <c r="CO29" s="52" t="str">
        <f>IF(BQ14=FALSE,"",
IF($BP$14=0,"",
IF($BJ$14,"",
IF(OR($C$11=$BV$6,#REF!=""),"",
"• Prorated Fairtrade Premium "&amp;$BK$4&amp;" per special carton box of "&amp;#REF!&amp;"kg of "&amp;$C$9&amp;" from "&amp;C8&amp;":"))))</f>
        <v/>
      </c>
      <c r="CP29" s="52" t="str">
        <f>IF(BQ14=FALSE,"",
IF($BP$14=0,"",
IF($BJ$14,"",
IF(OR($C$11=$BV$6,#REF!=""),"",
"• Prime Fairtrade "&amp;$BK$4&amp;" u prorata par boîte en carton spéciale de "&amp;#REF!&amp;"kg de "&amp;$C$9&amp;" de "&amp;C8&amp;":"))))</f>
        <v/>
      </c>
      <c r="CQ29" s="52" t="str">
        <f>IF(BQ14=FALSE,"",
IF($BP$14=0,"",
IF($BJ$14,"",
IF(OR($C$11=$BV$6,#REF!=""),"",
"• Prémio Fairtrade "&amp;$BK$4&amp;" Prorated por caixa de cartão especial de "&amp;#REF!&amp;"kg de "&amp;$C$9&amp;" de "&amp;C8&amp;":"))))</f>
        <v/>
      </c>
      <c r="CR29" s="52" t="str">
        <f>IF(BQ14=FALSE,"",
IF($BP$14=0,"",
IF($BJ$14,"",
IF(OR($C$11=$BV$6,#REF!=""),"",
"• Prima Fairtrade "&amp;$BK$4&amp;" Prorrateada por caja especial de cartón de "&amp;#REF!&amp;"kg de "&amp;$C$9&amp;" de "&amp;C8&amp;":"))))</f>
        <v/>
      </c>
    </row>
    <row r="30" spans="1:96" ht="16.8" customHeight="1" x14ac:dyDescent="0.5">
      <c r="A30" s="32"/>
      <c r="B30" s="178" t="str">
        <f>IF(OR($AQ$8,ISBLANK($D$2)),"",
IF($D$2=$CJ$4,CO45,
IF($D$2=$CJ$5,CP45,
IF($D$2=$CJ$6,CQ45,
CR45))))</f>
        <v/>
      </c>
      <c r="C30" s="26" t="str">
        <f>IF(BQ14=FALSE,"",
IF(OR(ISBLANK($C$25),ISBLANK($C$26)),"",
IF(OR($C$11=$BV$6,$C$20=""),"",
ROUND(((BW14/C18)*C25),2))))</f>
        <v/>
      </c>
      <c r="D30" s="25" t="str">
        <f>IF(BQ14=FALSE,"",
IF(OR($C$11=$BV$6,$C$20=""),"",
D28))</f>
        <v/>
      </c>
      <c r="E30" s="33"/>
      <c r="AO30" s="64" t="str">
        <f>BA20&amp;AZ18</f>
        <v>Portuguêsbanane biologique du commerce équitable</v>
      </c>
      <c r="AP30" s="65" t="str">
        <f t="shared" ref="AP30:AP32" si="10">AP28</f>
        <v>banana biológica de comércio justo</v>
      </c>
      <c r="AQ30" s="41">
        <v>8</v>
      </c>
      <c r="AR30" s="44" t="str">
        <f t="shared" si="6"/>
        <v>EnglishNicaragua</v>
      </c>
      <c r="AS30" s="45" t="str">
        <f t="shared" si="7"/>
        <v>Nicaragua</v>
      </c>
      <c r="AT30" s="41"/>
      <c r="AU30" s="41"/>
      <c r="AV30" s="41"/>
      <c r="AY30" s="44" t="str">
        <f t="shared" si="4"/>
        <v>EnglishNicaragua</v>
      </c>
      <c r="AZ30" s="45" t="str">
        <f t="shared" si="8"/>
        <v>Nicaragua</v>
      </c>
      <c r="BA30" s="72" t="str">
        <f>BD4</f>
        <v>English</v>
      </c>
      <c r="BH30" s="2"/>
      <c r="BN30" s="106"/>
    </row>
    <row r="31" spans="1:96" ht="16.8" customHeight="1" x14ac:dyDescent="0.3">
      <c r="A31" s="32"/>
      <c r="B31" s="178"/>
      <c r="C31" s="163" t="str">
        <f>IF(BQ14=FALSE,"",
IF(OR(ISBLANK($C$25),ISBLANK($C$26)),"",
IF(OR($C$11=$BV$6,$C$20=""),"",
" = ["&amp;$BW$14&amp;"/"&amp;$C$18&amp;"]*"&amp;$C$25&amp;" = "&amp;$C$30)))</f>
        <v/>
      </c>
      <c r="D31" s="11"/>
      <c r="E31" s="33"/>
      <c r="AO31" s="64" t="str">
        <f>BA19&amp;AZ21</f>
        <v>Portuguêsbanano Fairtrade convencional</v>
      </c>
      <c r="AP31" s="65" t="str">
        <f t="shared" si="10"/>
        <v>banana convencional de comércio justo</v>
      </c>
      <c r="AQ31" s="41">
        <v>9</v>
      </c>
      <c r="AR31" s="44" t="str">
        <f t="shared" si="6"/>
        <v>EnglishCameroun</v>
      </c>
      <c r="AS31" s="45" t="str">
        <f t="shared" si="7"/>
        <v>Cameroon</v>
      </c>
      <c r="AT31" s="41"/>
      <c r="AU31" s="41"/>
      <c r="AV31" s="41"/>
      <c r="AY31" s="44" t="str">
        <f t="shared" ref="AY31:AY58" si="11">BA31&amp;AZ31</f>
        <v>EnglishCameroon</v>
      </c>
      <c r="AZ31" s="45" t="str">
        <f t="shared" ref="AZ31" si="12">BD19</f>
        <v>Cameroon</v>
      </c>
      <c r="BA31" s="72" t="str">
        <f>BA30</f>
        <v>English</v>
      </c>
      <c r="BH31" s="4"/>
      <c r="BN31" s="106"/>
    </row>
    <row r="32" spans="1:96" ht="16.8" customHeight="1" x14ac:dyDescent="0.3">
      <c r="A32" s="32"/>
      <c r="B32" s="178" t="str">
        <f>IF(OR($AQ$8,ISBLANK($D$2)),"",
IF($D$2=$CJ$4,CO47,
IF($D$2=$CJ$5,CP47,
IF($D$2=$CJ$6,CQ47,
CR47))))</f>
        <v/>
      </c>
      <c r="C32" s="19" t="str">
        <f>IF(BQ14=FALSE,"",
IF(ISBLANK($C$25),"",
IF(C28="","",
ROUND(C25/C18,2))))</f>
        <v/>
      </c>
      <c r="D32" s="17" t="str">
        <f>IF(BQ14=FALSE,"",
IF(C16="","",D28))</f>
        <v/>
      </c>
      <c r="E32" s="33"/>
      <c r="AO32" s="64" t="str">
        <f>BA20&amp;AZ22</f>
        <v xml:space="preserve">Portuguêsbanano Fairtrade orgánico </v>
      </c>
      <c r="AP32" s="65" t="str">
        <f t="shared" si="10"/>
        <v>banana biológica de comércio justo</v>
      </c>
      <c r="AQ32" s="41">
        <v>1</v>
      </c>
      <c r="AR32" s="104" t="str">
        <f t="shared" ref="AR32:AR35" si="13">BA23&amp;AZ41</f>
        <v>EnglishPanamá</v>
      </c>
      <c r="AS32" s="45" t="str">
        <f t="shared" ref="AS32:AS44" si="14">AS23</f>
        <v>Panama</v>
      </c>
      <c r="AT32" s="106" t="s">
        <v>96</v>
      </c>
      <c r="AU32" s="41" t="s">
        <v>97</v>
      </c>
      <c r="AY32" s="44" t="str">
        <f t="shared" si="11"/>
        <v>FrançaisPanama</v>
      </c>
      <c r="AZ32" s="45" t="str">
        <f t="shared" ref="AZ32:AZ40" si="15">BE11</f>
        <v>Panama</v>
      </c>
      <c r="BA32" s="72" t="str">
        <f>BE4</f>
        <v>Français</v>
      </c>
      <c r="CO32" s="52" t="str">
        <f>"EXAMPLE:
  PRORATE TO IFCO CRATE "&amp;IF(ISBLANK($C$25),"OF __ KG (PLEASE ENTER THE WEIGHT IN KILOGRAMS IN CELL C39)","OF "&amp;$C$25&amp;"kg FOR BANANA")</f>
        <v>EXAMPLE:
  PRORATE TO IFCO CRATE OF __ KG (PLEASE ENTER THE WEIGHT IN KILOGRAMS IN CELL C39)</v>
      </c>
      <c r="CP32" s="52" t="str">
        <f>"EXEMPLE:
RÉPARTITION POUR LA CAISSE DE L'IFCO "&amp;IF(ISBLANK($C$25),"DE __ KG (ENTREZ LE POIDS EN KILOGRAMMES DANS LA CELLULE C39)","DE "&amp;$C$25&amp;"kg DE BANANE FRAÎCHE")</f>
        <v>EXEMPLE:
RÉPARTITION POUR LA CAISSE DE L'IFCO DE __ KG (ENTREZ LE POIDS EN KILOGRAMMES DANS LA CELLULE C39)</v>
      </c>
      <c r="CQ32" s="52" t="str">
        <f>"EXEMPLO:
REPARTIÇÃO PARA A CAIXA DA IFCO "&amp;IF(ISBLANK($C$25),"DE __ KG (ENTREZ LE POIDS EN KILOGRAMMES DANS LA CELLULE C39)","DE "&amp;$C$25&amp;"kg DE BANANA FRESCA")</f>
        <v>EXEMPLO:
REPARTIÇÃO PARA A CAIXA DA IFCO DE __ KG (ENTREZ LE POIDS EN KILOGRAMMES DANS LA CELLULE C39)</v>
      </c>
      <c r="CR32" s="52" t="str">
        <f>"EJEMPLO:
  PRORRATEO PARA LA CAJA IFCO "&amp;IF(ISBLANK($C$25),"DE __ KG (INGRESE EL PESO EN KILOGRAMOS EN LA CELDA C39)","DE "&amp;$C$25&amp;"kg DE BANANO FRESCO")</f>
        <v>EJEMPLO:
  PRORRATEO PARA LA CAJA IFCO DE __ KG (INGRESE EL PESO EN KILOGRAMOS EN LA CELDA C39)</v>
      </c>
    </row>
    <row r="33" spans="1:96" ht="16.8" customHeight="1" thickBot="1" x14ac:dyDescent="0.35">
      <c r="A33" s="32"/>
      <c r="B33" s="179"/>
      <c r="C33" s="164" t="str">
        <f>IF(C32="","","= "&amp;C25&amp;"/"&amp;C18&amp;" = "&amp;C32)</f>
        <v/>
      </c>
      <c r="D33" s="18"/>
      <c r="E33" s="33"/>
      <c r="AO33" s="64" t="str">
        <f>BA21&amp;AZ15</f>
        <v>Españolconventional Fairtrade banana</v>
      </c>
      <c r="AP33" s="65" t="str">
        <f>AZ21</f>
        <v>banano Fairtrade convencional</v>
      </c>
      <c r="AQ33" s="41">
        <v>2</v>
      </c>
      <c r="AR33" s="44" t="str">
        <f t="shared" si="13"/>
        <v>EnglishPeru</v>
      </c>
      <c r="AS33" s="45" t="str">
        <f t="shared" si="14"/>
        <v>Peru</v>
      </c>
      <c r="AT33" s="41"/>
      <c r="AU33" s="41"/>
      <c r="AY33" s="44" t="str">
        <f t="shared" si="11"/>
        <v>FrançaisPérou</v>
      </c>
      <c r="AZ33" s="45" t="str">
        <f t="shared" si="15"/>
        <v>Pérou</v>
      </c>
      <c r="BA33" s="72" t="str">
        <f>BE4</f>
        <v>Français</v>
      </c>
      <c r="CO33" s="52" t="s">
        <v>21</v>
      </c>
      <c r="CP33" s="52" t="s">
        <v>55</v>
      </c>
      <c r="CQ33" s="52" t="s">
        <v>56</v>
      </c>
      <c r="CR33" s="52" t="s">
        <v>29</v>
      </c>
    </row>
    <row r="34" spans="1:96" ht="18.600000000000001" customHeight="1" thickBot="1" x14ac:dyDescent="0.35">
      <c r="A34" s="34"/>
      <c r="B34" s="35"/>
      <c r="C34" s="36"/>
      <c r="D34" s="36"/>
      <c r="E34" s="37"/>
      <c r="AO34" s="64" t="str">
        <f>BA22&amp;AZ16</f>
        <v>Españolorganic Fairtrade banana</v>
      </c>
      <c r="AP34" s="65" t="str">
        <f>AZ22</f>
        <v xml:space="preserve">banano Fairtrade orgánico </v>
      </c>
      <c r="AQ34" s="41">
        <v>3</v>
      </c>
      <c r="AR34" s="44" t="str">
        <f t="shared" si="13"/>
        <v>EnglishColômbia</v>
      </c>
      <c r="AS34" s="45" t="str">
        <f t="shared" si="14"/>
        <v>Colombia</v>
      </c>
      <c r="AT34" s="41"/>
      <c r="AU34" s="41"/>
      <c r="AY34" s="44" t="str">
        <f t="shared" si="11"/>
        <v>FrançaisColombie</v>
      </c>
      <c r="AZ34" s="45" t="str">
        <f t="shared" si="15"/>
        <v>Colombie</v>
      </c>
      <c r="BA34" s="72" t="str">
        <f>BE4</f>
        <v>Français</v>
      </c>
      <c r="CO34" s="1" t="str">
        <f t="shared" ref="CO34:CO38" si="16">CO16</f>
        <v/>
      </c>
      <c r="CP34" s="1" t="str">
        <f t="shared" ref="CP34:CQ34" si="17">CP16</f>
        <v/>
      </c>
      <c r="CQ34" s="1" t="str">
        <f t="shared" si="17"/>
        <v/>
      </c>
      <c r="CR34" s="1" t="str">
        <f>CR16</f>
        <v/>
      </c>
    </row>
    <row r="35" spans="1:96" ht="36.6" customHeight="1" x14ac:dyDescent="0.3">
      <c r="AO35" s="64" t="str">
        <f>BA21&amp;AZ17</f>
        <v>Españolbanane conventionnelle du commerce équitable</v>
      </c>
      <c r="AP35" s="65" t="str">
        <f>AP33</f>
        <v>banano Fairtrade convencional</v>
      </c>
      <c r="AQ35" s="41">
        <v>4</v>
      </c>
      <c r="AR35" s="44" t="str">
        <f t="shared" si="13"/>
        <v>EnglishEquador</v>
      </c>
      <c r="AS35" s="45" t="str">
        <f t="shared" si="14"/>
        <v>Ecuador</v>
      </c>
      <c r="AT35" s="41"/>
      <c r="AU35" s="41"/>
      <c r="AY35" s="44" t="str">
        <f t="shared" si="11"/>
        <v>FrançaisÉquateur</v>
      </c>
      <c r="AZ35" s="45" t="str">
        <f t="shared" si="15"/>
        <v>Équateur</v>
      </c>
      <c r="BA35" s="72" t="str">
        <f>BE4</f>
        <v>Français</v>
      </c>
      <c r="CO35" s="1" t="str">
        <f t="shared" si="16"/>
        <v/>
      </c>
      <c r="CP35" s="1" t="str">
        <f t="shared" ref="CP35:CQ35" si="18">CP17</f>
        <v/>
      </c>
      <c r="CQ35" s="1" t="str">
        <f t="shared" si="18"/>
        <v/>
      </c>
      <c r="CR35" s="1" t="str">
        <f>CR17</f>
        <v/>
      </c>
    </row>
    <row r="36" spans="1:96" ht="36.6" customHeight="1" x14ac:dyDescent="0.3">
      <c r="AO36" s="64" t="str">
        <f>BA22&amp;AZ18</f>
        <v>Españolbanane biologique du commerce équitable</v>
      </c>
      <c r="AP36" s="65" t="str">
        <f t="shared" ref="AP36:AP38" si="19">AP34</f>
        <v xml:space="preserve">banano Fairtrade orgánico </v>
      </c>
      <c r="AQ36" s="41">
        <v>5</v>
      </c>
      <c r="AR36" s="44" t="str">
        <f>BA27&amp;AZ45</f>
        <v>EnglishSanta Lúcia</v>
      </c>
      <c r="AS36" s="45" t="str">
        <f t="shared" si="14"/>
        <v>Saint Lucia</v>
      </c>
      <c r="AT36" s="41"/>
      <c r="AU36" s="41"/>
      <c r="AY36" s="44" t="str">
        <f t="shared" si="11"/>
        <v>FrançaisSainte-Lucie</v>
      </c>
      <c r="AZ36" s="45" t="str">
        <f t="shared" si="15"/>
        <v>Sainte-Lucie</v>
      </c>
      <c r="BA36" s="72" t="str">
        <f>BE4</f>
        <v>Français</v>
      </c>
      <c r="CO36" s="52" t="str">
        <f t="shared" si="16"/>
        <v>Fairtrade Minimum Price</v>
      </c>
      <c r="CP36" s="52" t="s">
        <v>58</v>
      </c>
      <c r="CQ36" s="52" t="s">
        <v>57</v>
      </c>
      <c r="CR36" s="52" t="str">
        <f>CR18</f>
        <v>Precio Mínimo Fairtrade</v>
      </c>
    </row>
    <row r="37" spans="1:96" ht="17.399999999999999" customHeight="1" x14ac:dyDescent="0.3">
      <c r="G37" s="173"/>
      <c r="AO37" s="64" t="str">
        <f>BA21&amp;AZ19</f>
        <v>Españolbanana convencional de comércio justo</v>
      </c>
      <c r="AP37" s="65" t="str">
        <f t="shared" si="19"/>
        <v>banano Fairtrade convencional</v>
      </c>
      <c r="AQ37" s="41">
        <v>6</v>
      </c>
      <c r="AR37" s="44" t="str">
        <f>BA28&amp;AZ46</f>
        <v>EnglishGana</v>
      </c>
      <c r="AS37" s="45" t="str">
        <f t="shared" si="14"/>
        <v>Ghana</v>
      </c>
      <c r="AT37" s="41"/>
      <c r="AU37" s="41"/>
      <c r="AY37" s="44" t="str">
        <f t="shared" si="11"/>
        <v>FrançaisGhana</v>
      </c>
      <c r="AZ37" s="45" t="str">
        <f t="shared" si="15"/>
        <v>Ghana</v>
      </c>
      <c r="BA37" s="72" t="str">
        <f>BE4</f>
        <v>Français</v>
      </c>
      <c r="CO37" s="1" t="str">
        <f t="shared" si="16"/>
        <v/>
      </c>
      <c r="CP37" s="1" t="str">
        <f t="shared" ref="CP37:CQ37" si="20">CP19</f>
        <v/>
      </c>
      <c r="CQ37" s="1" t="str">
        <f t="shared" si="20"/>
        <v/>
      </c>
      <c r="CR37" s="1" t="str">
        <f>CR19</f>
        <v/>
      </c>
    </row>
    <row r="38" spans="1:96" ht="29.4" customHeight="1" x14ac:dyDescent="0.3">
      <c r="G38" s="173"/>
      <c r="AO38" s="69" t="str">
        <f>BA22&amp;AZ20</f>
        <v>Españolbanana biológica de comércio justo</v>
      </c>
      <c r="AP38" s="57" t="str">
        <f t="shared" si="19"/>
        <v xml:space="preserve">banano Fairtrade orgánico </v>
      </c>
      <c r="AQ38" s="41">
        <v>7</v>
      </c>
      <c r="AR38" s="44" t="str">
        <f>BA29&amp;AZ47</f>
        <v>EnglishRepública Dominicana</v>
      </c>
      <c r="AS38" s="45" t="str">
        <f t="shared" si="14"/>
        <v>Dominican Republic</v>
      </c>
      <c r="AT38" s="41"/>
      <c r="AU38" s="41"/>
      <c r="AY38" s="44" t="str">
        <f t="shared" si="11"/>
        <v>FrançaisRépublique dominicaine</v>
      </c>
      <c r="AZ38" s="45" t="str">
        <f t="shared" si="15"/>
        <v>République dominicaine</v>
      </c>
      <c r="BA38" s="72" t="str">
        <f>BE4</f>
        <v>Français</v>
      </c>
      <c r="BL38" s="51"/>
      <c r="CO38" s="1" t="str">
        <f t="shared" si="16"/>
        <v/>
      </c>
      <c r="CP38" s="1" t="str">
        <f t="shared" ref="CP38:CQ38" si="21">CP20</f>
        <v/>
      </c>
      <c r="CQ38" s="1" t="str">
        <f t="shared" si="21"/>
        <v/>
      </c>
      <c r="CR38" s="1" t="str">
        <f>CR20</f>
        <v/>
      </c>
    </row>
    <row r="39" spans="1:96" ht="29.4" customHeight="1" x14ac:dyDescent="0.3">
      <c r="AO39" s="1" t="str">
        <f>AY15</f>
        <v>Englishconventional Fairtrade banana</v>
      </c>
      <c r="AP39" s="1" t="str">
        <f>AZ15</f>
        <v>conventional Fairtrade banana</v>
      </c>
      <c r="AQ39" s="41">
        <v>8</v>
      </c>
      <c r="AR39" s="44" t="str">
        <f>BA30&amp;AZ48</f>
        <v>EnglishNicarágua</v>
      </c>
      <c r="AS39" s="45" t="str">
        <f t="shared" si="14"/>
        <v>Nicaragua</v>
      </c>
      <c r="AT39" s="41"/>
      <c r="AU39" s="41"/>
      <c r="AY39" s="44" t="str">
        <f t="shared" si="11"/>
        <v>FrançaisNicaragua</v>
      </c>
      <c r="AZ39" s="45" t="str">
        <f t="shared" si="15"/>
        <v>Nicaragua</v>
      </c>
      <c r="BA39" s="72" t="str">
        <f>BE4</f>
        <v>Français</v>
      </c>
      <c r="CO39" s="52" t="s">
        <v>149</v>
      </c>
      <c r="CP39" s="52" t="s">
        <v>63</v>
      </c>
      <c r="CQ39" s="52" t="s">
        <v>64</v>
      </c>
      <c r="CR39" s="52" t="s">
        <v>30</v>
      </c>
    </row>
    <row r="40" spans="1:96" ht="29.4" customHeight="1" x14ac:dyDescent="0.3">
      <c r="AO40" s="1" t="str">
        <f t="shared" ref="AO40:AP40" si="22">AY16</f>
        <v>Englishorganic Fairtrade banana</v>
      </c>
      <c r="AP40" s="1" t="str">
        <f t="shared" si="22"/>
        <v>organic Fairtrade banana</v>
      </c>
      <c r="AQ40" s="41">
        <v>9</v>
      </c>
      <c r="AR40" s="44" t="str">
        <f>BA31&amp;AZ49</f>
        <v>EnglishCamarões</v>
      </c>
      <c r="AS40" s="45" t="str">
        <f t="shared" si="14"/>
        <v>Cameroon</v>
      </c>
      <c r="AY40" s="44" t="str">
        <f t="shared" si="11"/>
        <v>FrançaisCameroun</v>
      </c>
      <c r="AZ40" s="45" t="str">
        <f t="shared" si="15"/>
        <v>Cameroun</v>
      </c>
      <c r="BA40" s="72" t="str">
        <f>BA39</f>
        <v>Français</v>
      </c>
      <c r="CO40" s="52" t="str">
        <f>IF(BQ14=FALSE,"",
IF($BP$14=0,"",
"• Banana volume per IFCO box (for which the Fairtrade Minimum Price will be prorated):"))</f>
        <v/>
      </c>
      <c r="CP40" s="52" t="str">
        <f>IF(BQ14=FALSE,"",
IF($BP$14=0,"",
"• Volume de bananes par boîte IFCO (pour lequel le prix minimum du commerce équitable sera calculé au prorata):"))</f>
        <v/>
      </c>
      <c r="CQ40" s="52" t="str">
        <f>IF(BQ14=FALSE,"",
IF($BP$14=0,"",
"• Volume de bananas por caixa IFCO (para o qual o Preço Mínimo de Comércio Justo será pro-rated):"))</f>
        <v/>
      </c>
      <c r="CR40" s="52" t="str">
        <f>IF(BQ14=FALSE,"",
IF($BP$14=0,"",
"• Volumen de banano por caja IFCO (para el que se prorrateará el Precio Mínimo Fairtrade):"))</f>
        <v/>
      </c>
    </row>
    <row r="41" spans="1:96" ht="29.4" customHeight="1" x14ac:dyDescent="0.3">
      <c r="AO41" s="1" t="str">
        <f t="shared" ref="AO41:AP41" si="23">AY17</f>
        <v>Françaisbanane conventionnelle du commerce équitable</v>
      </c>
      <c r="AP41" s="1" t="str">
        <f t="shared" si="23"/>
        <v>banane conventionnelle du commerce équitable</v>
      </c>
      <c r="AQ41" s="41">
        <v>1</v>
      </c>
      <c r="AR41" s="104" t="str">
        <f t="shared" ref="AR41:AR49" si="24">BA23&amp;AZ50</f>
        <v>EnglishPanamá</v>
      </c>
      <c r="AS41" s="45" t="str">
        <f t="shared" si="14"/>
        <v>Panama</v>
      </c>
      <c r="AT41" s="106" t="s">
        <v>98</v>
      </c>
      <c r="AU41" s="41" t="s">
        <v>97</v>
      </c>
      <c r="AY41" s="44" t="str">
        <f t="shared" si="11"/>
        <v>PortuguêsPanamá</v>
      </c>
      <c r="AZ41" s="97" t="str">
        <f t="shared" ref="AZ41:AZ44" si="25">BF11</f>
        <v>Panamá</v>
      </c>
      <c r="BA41" s="72" t="str">
        <f>BF4</f>
        <v>Português</v>
      </c>
      <c r="CO41" s="52" t="str">
        <f>IF($BQ$14=FALSE,"",
IF($BP$14=0,"",
IF(ISBLANK($C$25),"",
"• "&amp;CO81)))</f>
        <v/>
      </c>
      <c r="CP41" s="52" t="str">
        <f>IF($BQ$14=FALSE,"",
IF($BP$14=0,"",
IF(ISBLANK($C$25),"",
"• "&amp;CP81)))</f>
        <v/>
      </c>
      <c r="CQ41" s="52" t="str">
        <f>IF($BQ$14=FALSE,"",
IF($BP$14=0,"",
IF(ISBLANK($C$25),"",
"• "&amp;CQ81)))</f>
        <v/>
      </c>
      <c r="CR41" s="52" t="str">
        <f>IF($BQ$14=FALSE,"",
IF($BP$14=0,"",
IF(ISBLANK($C$25),"",
"• "&amp;CR81)))</f>
        <v/>
      </c>
    </row>
    <row r="42" spans="1:96" x14ac:dyDescent="0.3">
      <c r="F42" s="175"/>
      <c r="AO42" s="1" t="str">
        <f t="shared" ref="AO42:AP42" si="26">AY18</f>
        <v>Françaisbanane biologique du commerce équitable</v>
      </c>
      <c r="AP42" s="1" t="str">
        <f t="shared" si="26"/>
        <v>banane biologique du commerce équitable</v>
      </c>
      <c r="AQ42" s="41">
        <v>2</v>
      </c>
      <c r="AR42" s="44" t="str">
        <f t="shared" si="24"/>
        <v>EnglishPerú</v>
      </c>
      <c r="AS42" s="45" t="str">
        <f t="shared" si="14"/>
        <v>Peru</v>
      </c>
      <c r="AT42" s="41"/>
      <c r="AU42" s="41"/>
      <c r="AY42" s="44" t="str">
        <f t="shared" si="11"/>
        <v>PortuguêsPeru</v>
      </c>
      <c r="AZ42" s="97" t="str">
        <f t="shared" si="25"/>
        <v>Peru</v>
      </c>
      <c r="BA42" s="72" t="str">
        <f>BF4</f>
        <v>Português</v>
      </c>
      <c r="CO42" s="52" t="str">
        <f t="shared" ref="CO42:CQ42" si="27">CO24</f>
        <v>Prorate</v>
      </c>
      <c r="CP42" s="52" t="str">
        <f t="shared" si="27"/>
        <v>Répartition</v>
      </c>
      <c r="CQ42" s="52" t="str">
        <f t="shared" si="27"/>
        <v>Rateio</v>
      </c>
      <c r="CR42" s="52" t="str">
        <f>CR24</f>
        <v>Prorrateo</v>
      </c>
    </row>
    <row r="43" spans="1:96" ht="24" customHeight="1" x14ac:dyDescent="0.3">
      <c r="AO43" s="1" t="str">
        <f t="shared" ref="AO43:AP43" si="28">AY19</f>
        <v>Portuguêsbanana convencional de comércio justo</v>
      </c>
      <c r="AP43" s="1" t="str">
        <f t="shared" si="28"/>
        <v>banana convencional de comércio justo</v>
      </c>
      <c r="AQ43" s="41">
        <v>3</v>
      </c>
      <c r="AR43" s="44" t="str">
        <f t="shared" si="24"/>
        <v>EnglishColombia</v>
      </c>
      <c r="AS43" s="45" t="str">
        <f t="shared" si="14"/>
        <v>Colombia</v>
      </c>
      <c r="AT43" s="41"/>
      <c r="AU43" s="41"/>
      <c r="AY43" s="44" t="str">
        <f t="shared" si="11"/>
        <v>PortuguêsColômbia</v>
      </c>
      <c r="AZ43" s="97" t="str">
        <f t="shared" si="25"/>
        <v>Colômbia</v>
      </c>
      <c r="BA43" s="72" t="str">
        <f>BF4</f>
        <v>Português</v>
      </c>
      <c r="BU43" s="48"/>
      <c r="CO43" s="52" t="str">
        <f>IF(BQ14=FALSE,"",
IF($BP$14=0,"",
IF(OR(ISBLANK($C$25),ISBLANK($C$26)),"",
"• Prorated "&amp;$C$11&amp;" Fairtrade Minimum Price "&amp;$BK$4&amp;" per IFCO crate of "&amp;$C$25&amp;"kg of "&amp;$C$9&amp;" from "&amp;$C$8&amp;":")))</f>
        <v/>
      </c>
      <c r="CP43" s="52" t="str">
        <f>IF(BQ14=FALSE,"",
IF($BP$14=0,"",
IF(OR(ISBLANK($C$25),ISBLANK($C$26)),"",
"• Prix minimum Fairtrade "&amp;$C$11&amp;" "&amp;$BK$4&amp;" Répartition pour la boîte IFCO de "&amp;$C$25&amp;"kg de "&amp;$C$9&amp;" de "&amp;$C$8&amp;":")))</f>
        <v/>
      </c>
      <c r="CQ43" s="52" t="str">
        <f>IF(BQ14=FALSE,"",
IF($BP$14=0,"",
IF(OR(ISBLANK($C$25),ISBLANK($C$26)),"",
"• Preço mínimo Fairtrade "&amp;$C$11&amp;" "&amp;$BK$4&amp;" Repartido para a caixa IFCO de "&amp;$C$25&amp;"kg de "&amp;$C$9&amp;" de "&amp;$C$8&amp;":")))</f>
        <v/>
      </c>
      <c r="CR43" s="52" t="str">
        <f>IF(BQ14=FALSE,"",
IF($BP$14=0,"",
IF(OR(ISBLANK($C$25),ISBLANK($C$26)),"",
"• Precio Mínimo Fairtrade "&amp;$C$11&amp;" "&amp;$BK$4&amp;" Prorrateado para caja IFCO de "&amp;$C$25&amp;"kg de "&amp;$C$9&amp;" de "&amp;$C$8&amp;":")))</f>
        <v/>
      </c>
    </row>
    <row r="44" spans="1:96" ht="60.6" customHeight="1" x14ac:dyDescent="0.3">
      <c r="AO44" s="1" t="str">
        <f t="shared" ref="AO44:AP44" si="29">AY20</f>
        <v>Portuguêsbanana biológica de comércio justo</v>
      </c>
      <c r="AP44" s="1" t="str">
        <f t="shared" si="29"/>
        <v>banana biológica de comércio justo</v>
      </c>
      <c r="AQ44" s="41">
        <v>4</v>
      </c>
      <c r="AR44" s="44" t="str">
        <f t="shared" si="24"/>
        <v>EnglishEcuador</v>
      </c>
      <c r="AS44" s="45" t="str">
        <f t="shared" si="14"/>
        <v>Ecuador</v>
      </c>
      <c r="AT44" s="41"/>
      <c r="AU44" s="41"/>
      <c r="AY44" s="44" t="str">
        <f t="shared" si="11"/>
        <v>PortuguêsEquador</v>
      </c>
      <c r="AZ44" s="97" t="str">
        <f t="shared" si="25"/>
        <v>Equador</v>
      </c>
      <c r="BA44" s="72" t="str">
        <f>BF4</f>
        <v>Português</v>
      </c>
      <c r="CP44" s="1" t="s">
        <v>19</v>
      </c>
    </row>
    <row r="45" spans="1:96" ht="20.399999999999999" customHeight="1" x14ac:dyDescent="0.3">
      <c r="AO45" s="1" t="str">
        <f>AY21</f>
        <v>Españolbanano Fairtrade convencional</v>
      </c>
      <c r="AP45" s="1" t="str">
        <f>AZ21</f>
        <v>banano Fairtrade convencional</v>
      </c>
      <c r="AQ45" s="41">
        <v>5</v>
      </c>
      <c r="AR45" s="44" t="str">
        <f t="shared" si="24"/>
        <v>EnglishSanta Lucía</v>
      </c>
      <c r="AS45" s="45" t="str">
        <f>AS36</f>
        <v>Saint Lucia</v>
      </c>
      <c r="AT45" s="41"/>
      <c r="AU45" s="41"/>
      <c r="AY45" s="44" t="str">
        <f t="shared" si="11"/>
        <v>PortuguêsSanta Lúcia</v>
      </c>
      <c r="AZ45" s="97" t="str">
        <f>BF15</f>
        <v>Santa Lúcia</v>
      </c>
      <c r="BA45" s="72" t="str">
        <f>BF4</f>
        <v>Português</v>
      </c>
      <c r="CO45" s="52" t="str">
        <f>IF(BQ14=FALSE,"",
IF($BP$14=0,"",
IF(OR(ISBLANK($C$25),ISBLANK($C$26)),"",
IF(OR($C$11=$BV$6,$C$20=""),"","• Prorated Ex Works Fairtrade Minimum Price "&amp;$BK$4&amp;" per IFCO crate of "&amp;$C$25&amp;"kg of "&amp;$C$9&amp;" from "&amp;$C$8&amp;":"))))</f>
        <v/>
      </c>
      <c r="CP45" s="52" t="str">
        <f>IF(BQ14=FALSE,"",
IF($BP$14=0,"",
IF(OR(ISBLANK($C$25),ISBLANK($C$26)),"",
IF(OR($C$11=$BV$6,$C$20=""),"","• Prix minimum Fairtrade Ex Works "&amp;$BK$4&amp;" Répartition pour la boîte IFCO de "&amp;$C$25&amp;"kg de "&amp;$C$9&amp;" de "&amp;$C$8&amp;":"))))</f>
        <v/>
      </c>
      <c r="CQ45" s="52" t="str">
        <f>IF(BQ14=FALSE,"",
IF($BP$14=0,"",
IF(OR(ISBLANK($C$25),ISBLANK($C$26)),"",
IF(OR($C$11=$BV$6,$C$20=""),"","• Precio Mínimo Fairtrade Ex Works "&amp;$BK$4&amp;" Repartido para a caixa IFCO de "&amp;$C$25&amp;"kg de "&amp;$C$9&amp;" de "&amp;$C$8&amp;":"))))</f>
        <v/>
      </c>
      <c r="CR45" s="52" t="str">
        <f>IF(BQ14=FALSE,"",
IF($BP$14=0,"",
IF(OR(ISBLANK($C$25),ISBLANK($C$26)),"",
IF(OR($C$11=$BV$6,$C$20=""),"","• Precio Mínimo Fairtrade Ex Works "&amp;$BK$4&amp;" Prorrateado para caja IFCO de "&amp;$C$25&amp;"kg de "&amp;$C$9&amp;" de "&amp;$C$8&amp;":"))))</f>
        <v/>
      </c>
    </row>
    <row r="46" spans="1:96" ht="19.2" customHeight="1" x14ac:dyDescent="0.3">
      <c r="AO46" s="1" t="str">
        <f>AY22</f>
        <v xml:space="preserve">Españolbanano Fairtrade orgánico </v>
      </c>
      <c r="AP46" s="1" t="str">
        <f>AZ22</f>
        <v xml:space="preserve">banano Fairtrade orgánico </v>
      </c>
      <c r="AQ46" s="41">
        <v>6</v>
      </c>
      <c r="AR46" s="44" t="str">
        <f t="shared" si="24"/>
        <v>EnglishGana</v>
      </c>
      <c r="AS46" s="45" t="str">
        <f>AS37</f>
        <v>Ghana</v>
      </c>
      <c r="AT46" s="41"/>
      <c r="AU46" s="41"/>
      <c r="AY46" s="44" t="str">
        <f t="shared" si="11"/>
        <v>PortuguêsGana</v>
      </c>
      <c r="AZ46" s="97" t="str">
        <f>BF16</f>
        <v>Gana</v>
      </c>
      <c r="BA46" s="72" t="str">
        <f>BF4</f>
        <v>Português</v>
      </c>
    </row>
    <row r="47" spans="1:96" ht="19.2" customHeight="1" x14ac:dyDescent="0.5">
      <c r="F47" s="174"/>
      <c r="AQ47" s="41">
        <v>7</v>
      </c>
      <c r="AR47" s="44" t="str">
        <f t="shared" si="24"/>
        <v>EnglishRepública Dominicana</v>
      </c>
      <c r="AS47" s="45" t="str">
        <f>AS38</f>
        <v>Dominican Republic</v>
      </c>
      <c r="AT47" s="41"/>
      <c r="AU47" s="41"/>
      <c r="AY47" s="44" t="str">
        <f t="shared" si="11"/>
        <v>PortuguêsRepública Dominicana</v>
      </c>
      <c r="AZ47" s="97" t="str">
        <f>BF17</f>
        <v>República Dominicana</v>
      </c>
      <c r="BA47" s="72" t="str">
        <f>BF4</f>
        <v>Português</v>
      </c>
      <c r="BH47" s="2"/>
      <c r="CO47" s="52" t="str">
        <f>IF(BQ14=FALSE,"",
IF($BP$14=0,"",
IF(OR(ISBLANK($C$25),ISBLANK($C$26)),"",
IF(OR($C$11=$BV$6,$C$20=""),"","• Prorated Fairtrade Premium "&amp;$BK$4&amp;" per IFCO crate of "&amp;$C$25&amp;"kg of "&amp;$C$9&amp;" from "&amp;$C$8&amp;":"))))</f>
        <v/>
      </c>
      <c r="CP47" s="52" t="str">
        <f>IF(BQ14=FALSE,"",
IF($BP$14=0,"",
IF(OR(ISBLANK($C$25),ISBLANK($C$26)),"",
IF(OR($C$11=$BV$6,$C$20=""),"","• Prime Fairtrade "&amp;$BK$4&amp;" Répartition pour la boîte IFCO de "&amp;$C$25&amp;"kg de "&amp;$C$9&amp;" de "&amp;$C$8&amp;":"))))</f>
        <v/>
      </c>
      <c r="CQ47" s="52" t="str">
        <f>IF(BQ14=FALSE,"",
IF($BP$14=0,"",
IF(OR(ISBLANK($C$25),ISBLANK($C$26)),"",
IF(OR($C$11=$BV$6,$C$20=""),"","• Prémio Fairtrade "&amp;$BK$4&amp;" Repartido para a caixa IFCO de "&amp;$C$25&amp;"kg de "&amp;$C$9&amp;" de "&amp;$C$8&amp;":"))))</f>
        <v/>
      </c>
      <c r="CR47" s="52" t="str">
        <f>IF(BQ14=FALSE,"",
IF($BP$14=0,"",
IF(OR(ISBLANK($C$25),ISBLANK($C$26)),"",
IF(OR($C$11=$BV$6,$C$20=""),"","• Prima Fairtrade "&amp;$BK$4&amp;" Prorrateada por caja IFCO de "&amp;$C$25&amp;"kg de "&amp;$C$9&amp;" de "&amp;$C$8&amp;":"))))</f>
        <v/>
      </c>
    </row>
    <row r="48" spans="1:96" ht="19.2" customHeight="1" x14ac:dyDescent="0.5">
      <c r="F48" s="173"/>
      <c r="AQ48" s="41">
        <v>8</v>
      </c>
      <c r="AR48" s="44" t="str">
        <f t="shared" si="24"/>
        <v>EnglishNicaragua</v>
      </c>
      <c r="AS48" s="45" t="str">
        <f>AS39</f>
        <v>Nicaragua</v>
      </c>
      <c r="AT48" s="41"/>
      <c r="AU48" s="41"/>
      <c r="AY48" s="44" t="str">
        <f t="shared" si="11"/>
        <v>PortuguêsNicarágua</v>
      </c>
      <c r="AZ48" s="97" t="str">
        <f>BF18</f>
        <v>Nicarágua</v>
      </c>
      <c r="BA48" s="72" t="str">
        <f>BF4</f>
        <v>Português</v>
      </c>
      <c r="BH48" s="2"/>
      <c r="CO48" s="128" t="str">
        <f>IF($BQ$14=FALSE,"",
IF($BP$14=0,"",
"• If you have a verifiable annual average price for the standard 18.14 kg carton box, different from the one used as a reference in the Minimum Price calculation, enter it here, excluding value added tax:"))</f>
        <v/>
      </c>
      <c r="CP48" s="128" t="str">
        <f>IF($BQ$14=FALSE,"",
IF($BP$14=0,"",
"• Si vous disposez d'un prix moyen annuel vérifiable pour la boîte en carton standard de 18,14 kg, différent de celui utilisé comme référence dans le calcul du prix minimum, indiquez-le ici, hors taxe sur la valeur ajoutée:"))</f>
        <v/>
      </c>
      <c r="CQ48" s="128" t="str">
        <f>IF($BQ$14=FALSE,"",
IF($BP$14=0,"",
"• Se dispuser de um preço médio anual verificável para a caixa normalizada de cartão de 18,14 kg, diferente do utilizado como referência no cálculo do preço mínimo, insira-o aqui, excluindo o imposto sobre o valor acrescentado:"))</f>
        <v/>
      </c>
      <c r="CR48" s="128" t="str">
        <f>IF($BQ$14=FALSE,"",
IF($BP$14=0,"",
"• Si tiene un precio promedio anual para la caja de cartón estándar de 18.14 kg, diferente al utilizado como referencia en el calculao del Precio Mínimo, que sea verificable, ingréselo aquí, sin incluir el impuesto al valor agregado:"))</f>
        <v/>
      </c>
    </row>
    <row r="49" spans="1:101" ht="19.2" customHeight="1" x14ac:dyDescent="0.3">
      <c r="AQ49" s="41">
        <v>9</v>
      </c>
      <c r="AR49" s="44" t="str">
        <f t="shared" si="24"/>
        <v>EnglishCamerún</v>
      </c>
      <c r="AS49" s="45" t="str">
        <f>AS40</f>
        <v>Cameroon</v>
      </c>
      <c r="AT49" s="41"/>
      <c r="AU49" s="41"/>
      <c r="AY49" s="44" t="str">
        <f t="shared" si="11"/>
        <v>PortuguêsCamarões</v>
      </c>
      <c r="AZ49" s="97" t="str">
        <f>BF19</f>
        <v>Camarões</v>
      </c>
      <c r="BA49" s="72" t="str">
        <f>BA48</f>
        <v>Português</v>
      </c>
      <c r="CO49" s="128" t="str">
        <f>IF($BQ$14=FALSE,"",
IF($BP$14=0,"",
"• Fairtrade Minimum Price FOB 2024 excluding the reference price for the standard 18.14kg carton:"))</f>
        <v/>
      </c>
      <c r="CP49" s="128" t="str">
        <f>IF($BQ$14=FALSE,"",
IF($BP$14=0,"",
"• Prix minimum du commerce équitable FOB 2024 excluant le prix de référence du carton standard de 18.14kg:"))</f>
        <v/>
      </c>
      <c r="CQ49" s="128" t="str">
        <f>IF($BQ$14=FALSE,"",
IF($BP$14=0,"",
"• Preço Mínimo do Comércio Justo FOB 2024 excluindo o preço de referência para a caixa de cartão padrão de 18.14kg:"))</f>
        <v/>
      </c>
      <c r="CR49" s="128" t="str">
        <f>IF($BQ$14=FALSE,"",
IF($BP$14=0,"",
"• Precio Mínimo Fairtrade FOB 2024 sin incluir el precio de referencia para la caja de cartón estándar de 18.14kg:"))</f>
        <v/>
      </c>
    </row>
    <row r="50" spans="1:101" ht="19.2" customHeight="1" x14ac:dyDescent="0.3">
      <c r="AQ50" s="41">
        <v>1</v>
      </c>
      <c r="AR50" s="104" t="str">
        <f t="shared" ref="AR50:AR58" si="30">BA32&amp;AZ23</f>
        <v>FrançaisPanama</v>
      </c>
      <c r="AS50" s="45" t="str">
        <f t="shared" ref="AS50:AS58" si="31">AZ32</f>
        <v>Panama</v>
      </c>
      <c r="AT50" s="106" t="s">
        <v>99</v>
      </c>
      <c r="AU50" s="41" t="s">
        <v>100</v>
      </c>
      <c r="AY50" s="44" t="str">
        <f t="shared" si="11"/>
        <v>EspañolPanamá</v>
      </c>
      <c r="AZ50" s="97" t="str">
        <f t="shared" ref="AZ50:AZ58" si="32">BG11</f>
        <v>Panamá</v>
      </c>
      <c r="BA50" s="72" t="str">
        <f>BG4</f>
        <v>Español</v>
      </c>
      <c r="CB50" s="1"/>
      <c r="CE50" s="1"/>
      <c r="CF50" s="1"/>
      <c r="CG50" s="1"/>
      <c r="CH50" s="1"/>
      <c r="CJ50" s="1"/>
      <c r="CK50" s="1"/>
      <c r="CO50" s="128" t="str">
        <f>IF($BQ$14=FALSE,"",
IF($BP$14=0,"",
"• Fairtrade Minimum Price FOB 2024 considering the price of the standard 18.14 kg carton box just entered:"))</f>
        <v/>
      </c>
      <c r="CP50" s="128" t="str">
        <f>IF($BQ$14=FALSE,"",
IF($BP$14=0,"",
"• Prix minimum du commerce équitable FOB 2024 compte tenu du prix de la boîte en carton standard de 18.14kg qui vient d'être saisi:"))</f>
        <v/>
      </c>
      <c r="CQ50" s="128" t="str">
        <f>IF($BQ$14=FALSE,"",
IF($BP$14=0,"",
"• Preço Mínimo de Comércio Justo FOB 2024 considerando o preço da caixa de cartão padrão de 18.14kg que acabou de ser introduzido:"))</f>
        <v/>
      </c>
      <c r="CR50" s="128" t="str">
        <f>IF($BQ$14=FALSE,"",
IF($BP$14=0,"",
"• Precio Mínimo Fairtrade FOB 2024 considerando el precio de caja de cartón estandar de 18.14kg recién ingresado:"))</f>
        <v/>
      </c>
    </row>
    <row r="51" spans="1:101" ht="19.2" customHeight="1" x14ac:dyDescent="0.3">
      <c r="AQ51" s="41">
        <v>2</v>
      </c>
      <c r="AR51" s="44" t="str">
        <f t="shared" si="30"/>
        <v>FrançaisPeru</v>
      </c>
      <c r="AS51" s="45" t="str">
        <f t="shared" si="31"/>
        <v>Pérou</v>
      </c>
      <c r="AT51" s="41"/>
      <c r="AU51" s="41"/>
      <c r="AY51" s="44" t="str">
        <f t="shared" si="11"/>
        <v>EspañolPerú</v>
      </c>
      <c r="AZ51" s="97" t="str">
        <f t="shared" si="32"/>
        <v>Perú</v>
      </c>
      <c r="BA51" s="72" t="str">
        <f>BG4</f>
        <v>Español</v>
      </c>
      <c r="CB51" s="1"/>
      <c r="CC51" s="1"/>
      <c r="CD51" s="1"/>
      <c r="CE51" s="1"/>
      <c r="CF51" s="1"/>
      <c r="CG51" s="1"/>
      <c r="CH51" s="1"/>
      <c r="CI51" s="1"/>
      <c r="CJ51" s="1"/>
      <c r="CK51" s="1"/>
      <c r="CL51" s="1"/>
      <c r="CM51" s="1"/>
      <c r="CO51" s="1" t="str">
        <f t="shared" ref="CO51:CO59" si="33">BL5</f>
        <v/>
      </c>
      <c r="CP51" s="1" t="str">
        <f t="shared" ref="CP51:CP59" si="34">BN5</f>
        <v>Moin (CR)</v>
      </c>
      <c r="CQ51" s="1" t="str">
        <f>CB5</f>
        <v>Colón (PA)</v>
      </c>
    </row>
    <row r="52" spans="1:101" x14ac:dyDescent="0.3">
      <c r="AQ52" s="41">
        <v>3</v>
      </c>
      <c r="AR52" s="44" t="str">
        <f t="shared" si="30"/>
        <v>FrançaisColombia</v>
      </c>
      <c r="AS52" s="45" t="str">
        <f t="shared" si="31"/>
        <v>Colombie</v>
      </c>
      <c r="AT52" s="41"/>
      <c r="AU52" s="41"/>
      <c r="AY52" s="44" t="str">
        <f t="shared" si="11"/>
        <v>EspañolColombia</v>
      </c>
      <c r="AZ52" s="97" t="str">
        <f t="shared" si="32"/>
        <v>Colombia</v>
      </c>
      <c r="BA52" s="72" t="str">
        <f>BG4</f>
        <v>Español</v>
      </c>
      <c r="CB52" s="1"/>
      <c r="CC52" s="1"/>
      <c r="CD52" s="1"/>
      <c r="CE52" s="1"/>
      <c r="CF52" s="1"/>
      <c r="CG52" s="1"/>
      <c r="CH52" s="1"/>
      <c r="CI52" s="1"/>
      <c r="CJ52" s="1"/>
      <c r="CK52" s="1"/>
      <c r="CL52" s="1"/>
      <c r="CM52" s="1"/>
      <c r="CO52" s="1" t="str">
        <f t="shared" si="33"/>
        <v/>
      </c>
      <c r="CP52" s="1" t="str">
        <f t="shared" si="34"/>
        <v>Paita</v>
      </c>
    </row>
    <row r="53" spans="1:101" x14ac:dyDescent="0.3">
      <c r="AQ53" s="41">
        <v>4</v>
      </c>
      <c r="AR53" s="44" t="str">
        <f t="shared" si="30"/>
        <v>FrançaisEcuador</v>
      </c>
      <c r="AS53" s="45" t="str">
        <f t="shared" si="31"/>
        <v>Équateur</v>
      </c>
      <c r="AT53" s="41"/>
      <c r="AU53" s="41"/>
      <c r="AY53" s="44" t="str">
        <f t="shared" si="11"/>
        <v>EspañolEcuador</v>
      </c>
      <c r="AZ53" s="97" t="str">
        <f t="shared" si="32"/>
        <v>Ecuador</v>
      </c>
      <c r="BA53" s="72" t="str">
        <f>BG4</f>
        <v>Español</v>
      </c>
      <c r="CB53" s="1"/>
      <c r="CC53" s="1"/>
      <c r="CD53" s="1"/>
      <c r="CE53" s="1"/>
      <c r="CF53" s="1"/>
      <c r="CG53" s="1"/>
      <c r="CH53" s="1"/>
      <c r="CI53" s="1"/>
      <c r="CJ53" s="1"/>
      <c r="CK53" s="1"/>
      <c r="CL53" s="1"/>
      <c r="CM53" s="1"/>
      <c r="CO53" s="1" t="str">
        <f t="shared" si="33"/>
        <v/>
      </c>
      <c r="CP53" s="1" t="str">
        <f t="shared" si="34"/>
        <v>Turbo/Sta.Marta</v>
      </c>
    </row>
    <row r="54" spans="1:101" x14ac:dyDescent="0.3">
      <c r="A54" s="5"/>
      <c r="C54" s="5"/>
      <c r="D54" s="5"/>
      <c r="E54" s="5"/>
      <c r="AQ54" s="41">
        <v>5</v>
      </c>
      <c r="AR54" s="44" t="str">
        <f t="shared" si="30"/>
        <v>FrançaisSaint Lucia</v>
      </c>
      <c r="AS54" s="45" t="str">
        <f t="shared" si="31"/>
        <v>Sainte-Lucie</v>
      </c>
      <c r="AT54" s="41"/>
      <c r="AU54" s="41"/>
      <c r="AY54" s="44" t="str">
        <f t="shared" si="11"/>
        <v>EspañolSanta Lucía</v>
      </c>
      <c r="AZ54" s="97" t="str">
        <f t="shared" si="32"/>
        <v>Santa Lucía</v>
      </c>
      <c r="BA54" s="72" t="str">
        <f>BG4</f>
        <v>Español</v>
      </c>
      <c r="CB54" s="1"/>
      <c r="CC54" s="1"/>
      <c r="CD54" s="1"/>
      <c r="CE54" s="1"/>
      <c r="CF54" s="1"/>
      <c r="CG54" s="1"/>
      <c r="CH54" s="1"/>
      <c r="CI54" s="1"/>
      <c r="CJ54" s="1"/>
      <c r="CK54" s="1"/>
      <c r="CL54" s="1"/>
      <c r="CM54" s="1"/>
      <c r="CO54" s="1" t="str">
        <f t="shared" si="33"/>
        <v/>
      </c>
      <c r="CP54" s="1" t="str">
        <f t="shared" si="34"/>
        <v>Bolivar</v>
      </c>
      <c r="CQ54" s="1" t="str">
        <f>CB8</f>
        <v>Guayaquil (llegando a puerto desde Machala)</v>
      </c>
    </row>
    <row r="55" spans="1:101" x14ac:dyDescent="0.3">
      <c r="AQ55" s="41">
        <v>6</v>
      </c>
      <c r="AR55" s="44" t="str">
        <f t="shared" si="30"/>
        <v>FrançaisGhana</v>
      </c>
      <c r="AS55" s="45" t="str">
        <f t="shared" si="31"/>
        <v>Ghana</v>
      </c>
      <c r="AT55" s="41"/>
      <c r="AU55" s="41"/>
      <c r="AY55" s="44" t="str">
        <f t="shared" si="11"/>
        <v>EspañolGana</v>
      </c>
      <c r="AZ55" s="97" t="str">
        <f t="shared" si="32"/>
        <v>Gana</v>
      </c>
      <c r="BA55" s="72" t="str">
        <f>BG4</f>
        <v>Español</v>
      </c>
      <c r="CB55" s="1"/>
      <c r="CC55" s="1"/>
      <c r="CD55" s="1"/>
      <c r="CE55" s="1"/>
      <c r="CF55" s="1"/>
      <c r="CG55" s="1"/>
      <c r="CH55" s="1"/>
      <c r="CI55" s="1"/>
      <c r="CJ55" s="1"/>
      <c r="CK55" s="1"/>
      <c r="CL55" s="1"/>
      <c r="CM55" s="1"/>
      <c r="CO55" s="1" t="str">
        <f t="shared" si="33"/>
        <v/>
      </c>
      <c r="CP55" s="1" t="str">
        <f t="shared" si="34"/>
        <v>Castries</v>
      </c>
      <c r="CQ55" s="1" t="str">
        <f>CB9</f>
        <v>Guayaquil/Posorja (llegando a puerto desde Santa Elena)</v>
      </c>
    </row>
    <row r="56" spans="1:101" x14ac:dyDescent="0.3">
      <c r="AQ56" s="41">
        <v>7</v>
      </c>
      <c r="AR56" s="44" t="str">
        <f t="shared" si="30"/>
        <v>FrançaisDominican Republic</v>
      </c>
      <c r="AS56" s="45" t="str">
        <f t="shared" si="31"/>
        <v>République dominicaine</v>
      </c>
      <c r="AT56" s="41"/>
      <c r="AU56" s="41"/>
      <c r="AY56" s="44" t="str">
        <f t="shared" si="11"/>
        <v>EspañolRepública Dominicana</v>
      </c>
      <c r="AZ56" s="97" t="str">
        <f t="shared" si="32"/>
        <v>República Dominicana</v>
      </c>
      <c r="BA56" s="72" t="str">
        <f>BG4</f>
        <v>Español</v>
      </c>
      <c r="CB56" s="1"/>
      <c r="CC56" s="1"/>
      <c r="CD56" s="1"/>
      <c r="CE56" s="1"/>
      <c r="CF56" s="1"/>
      <c r="CG56" s="1"/>
      <c r="CH56" s="1"/>
      <c r="CI56" s="1"/>
      <c r="CJ56" s="1"/>
      <c r="CK56" s="1"/>
      <c r="CL56" s="1"/>
      <c r="CM56" s="1"/>
      <c r="CO56" s="1" t="str">
        <f t="shared" si="33"/>
        <v/>
      </c>
      <c r="CP56" s="1" t="str">
        <f t="shared" si="34"/>
        <v>Tema</v>
      </c>
    </row>
    <row r="57" spans="1:101" x14ac:dyDescent="0.3">
      <c r="AQ57" s="41">
        <v>8</v>
      </c>
      <c r="AR57" s="44" t="str">
        <f t="shared" si="30"/>
        <v>FrançaisNicaragua</v>
      </c>
      <c r="AS57" s="45" t="str">
        <f t="shared" si="31"/>
        <v>Nicaragua</v>
      </c>
      <c r="AT57" s="41"/>
      <c r="AU57" s="41"/>
      <c r="AY57" s="44" t="str">
        <f t="shared" si="11"/>
        <v>EspañolNicaragua</v>
      </c>
      <c r="AZ57" s="97" t="str">
        <f t="shared" si="32"/>
        <v>Nicaragua</v>
      </c>
      <c r="BA57" s="72" t="str">
        <f>BG4</f>
        <v>Español</v>
      </c>
      <c r="CB57" s="1"/>
      <c r="CC57" s="1"/>
      <c r="CD57" s="1"/>
      <c r="CE57" s="1"/>
      <c r="CF57" s="1"/>
      <c r="CG57" s="1"/>
      <c r="CH57" s="1"/>
      <c r="CI57" s="1"/>
      <c r="CJ57" s="1"/>
      <c r="CK57" s="1"/>
      <c r="CL57" s="1"/>
      <c r="CM57" s="1"/>
      <c r="CO57" s="1" t="str">
        <f t="shared" si="33"/>
        <v/>
      </c>
      <c r="CP57" s="1" t="str">
        <f t="shared" si="34"/>
        <v>Manzanillo</v>
      </c>
      <c r="CQ57" s="1" t="str">
        <f>CB11</f>
        <v>Caucedo</v>
      </c>
    </row>
    <row r="58" spans="1:101" x14ac:dyDescent="0.3">
      <c r="AQ58" s="41">
        <v>9</v>
      </c>
      <c r="AR58" s="44" t="str">
        <f t="shared" si="30"/>
        <v>FrançaisCameroon</v>
      </c>
      <c r="AS58" s="45" t="str">
        <f t="shared" si="31"/>
        <v>Cameroun</v>
      </c>
      <c r="AT58" s="41"/>
      <c r="AU58" s="41"/>
      <c r="AY58" s="46" t="str">
        <f t="shared" si="11"/>
        <v>EspañolCamerún</v>
      </c>
      <c r="AZ58" s="98" t="str">
        <f t="shared" si="32"/>
        <v>Camerún</v>
      </c>
      <c r="BA58" s="111" t="str">
        <f>BA57</f>
        <v>Español</v>
      </c>
      <c r="CB58" s="1"/>
      <c r="CC58" s="1"/>
      <c r="CD58" s="1"/>
      <c r="CE58" s="1"/>
      <c r="CF58" s="1"/>
      <c r="CG58" s="1"/>
      <c r="CH58" s="1"/>
      <c r="CI58" s="1"/>
      <c r="CJ58" s="1"/>
      <c r="CK58" s="1"/>
      <c r="CL58" s="1"/>
      <c r="CM58" s="1"/>
      <c r="CO58" s="1" t="str">
        <f t="shared" si="33"/>
        <v/>
      </c>
      <c r="CP58" s="1" t="str">
        <f t="shared" si="34"/>
        <v>Corinto</v>
      </c>
      <c r="CQ58" s="1" t="str">
        <f>CB12</f>
        <v>Moin (CR)/Cortez (HN)</v>
      </c>
    </row>
    <row r="59" spans="1:101" x14ac:dyDescent="0.3">
      <c r="AQ59" s="41">
        <v>1</v>
      </c>
      <c r="AR59" s="104" t="str">
        <f t="shared" ref="AR59:AR67" si="35">BA32&amp;AZ41</f>
        <v>FrançaisPanamá</v>
      </c>
      <c r="AS59" s="45" t="str">
        <f t="shared" ref="AS59:AS76" si="36">AS50</f>
        <v>Panama</v>
      </c>
      <c r="AT59" s="106" t="s">
        <v>101</v>
      </c>
      <c r="AU59" s="41" t="s">
        <v>100</v>
      </c>
      <c r="CB59" s="1"/>
      <c r="CC59" s="1"/>
      <c r="CD59" s="1"/>
      <c r="CE59" s="1"/>
      <c r="CF59" s="1"/>
      <c r="CG59" s="1"/>
      <c r="CH59" s="1"/>
      <c r="CI59" s="1"/>
      <c r="CJ59" s="1"/>
      <c r="CK59" s="1"/>
      <c r="CL59" s="1"/>
      <c r="CM59" s="1"/>
      <c r="CO59" s="1" t="str">
        <f t="shared" si="33"/>
        <v/>
      </c>
      <c r="CP59" s="1" t="str">
        <f t="shared" si="34"/>
        <v>Douala</v>
      </c>
    </row>
    <row r="60" spans="1:101" x14ac:dyDescent="0.3">
      <c r="AQ60" s="41">
        <v>2</v>
      </c>
      <c r="AR60" s="44" t="str">
        <f t="shared" si="35"/>
        <v>FrançaisPeru</v>
      </c>
      <c r="AS60" s="45" t="str">
        <f t="shared" si="36"/>
        <v>Pérou</v>
      </c>
      <c r="AT60" s="41"/>
      <c r="AU60" s="41"/>
    </row>
    <row r="61" spans="1:101" x14ac:dyDescent="0.3">
      <c r="AQ61" s="41">
        <v>3</v>
      </c>
      <c r="AR61" s="44" t="str">
        <f t="shared" si="35"/>
        <v>FrançaisColômbia</v>
      </c>
      <c r="AS61" s="45" t="str">
        <f t="shared" si="36"/>
        <v>Colombie</v>
      </c>
      <c r="AT61" s="41"/>
      <c r="AU61" s="41"/>
      <c r="CB61" s="1"/>
    </row>
    <row r="62" spans="1:101" x14ac:dyDescent="0.3">
      <c r="AQ62" s="41">
        <v>4</v>
      </c>
      <c r="AR62" s="44" t="str">
        <f t="shared" si="35"/>
        <v>FrançaisEquador</v>
      </c>
      <c r="AS62" s="45" t="str">
        <f t="shared" si="36"/>
        <v>Équateur</v>
      </c>
      <c r="AT62" s="41"/>
      <c r="AU62" s="41"/>
      <c r="CE62" s="1"/>
      <c r="CH62" s="1"/>
      <c r="CI62" s="1"/>
      <c r="CJ62" s="1"/>
      <c r="CO62" s="93" t="str">
        <f>CO51</f>
        <v/>
      </c>
      <c r="CP62" s="93" t="str">
        <f>CO52</f>
        <v/>
      </c>
      <c r="CQ62" s="93" t="str">
        <f>CO53</f>
        <v/>
      </c>
      <c r="CR62" s="93" t="str">
        <f>CO54</f>
        <v/>
      </c>
      <c r="CS62" s="93" t="str">
        <f>CO55</f>
        <v/>
      </c>
      <c r="CT62" s="93" t="str">
        <f>CO56</f>
        <v/>
      </c>
      <c r="CU62" s="93" t="str">
        <f>CO57</f>
        <v/>
      </c>
      <c r="CV62" s="93" t="str">
        <f>CO58</f>
        <v/>
      </c>
      <c r="CW62" s="93" t="str">
        <f>CO59</f>
        <v/>
      </c>
    </row>
    <row r="63" spans="1:101" x14ac:dyDescent="0.3">
      <c r="AQ63" s="41">
        <v>5</v>
      </c>
      <c r="AR63" s="44" t="str">
        <f t="shared" si="35"/>
        <v>FrançaisSanta Lúcia</v>
      </c>
      <c r="AS63" s="45" t="str">
        <f t="shared" si="36"/>
        <v>Sainte-Lucie</v>
      </c>
      <c r="AT63" s="41"/>
      <c r="AU63" s="41"/>
      <c r="CE63" s="1"/>
      <c r="CH63" s="1"/>
      <c r="CI63" s="1"/>
      <c r="CJ63" s="1"/>
      <c r="CN63" s="41" t="s">
        <v>154</v>
      </c>
      <c r="CO63" s="1" t="str">
        <f>CP51</f>
        <v>Moin (CR)</v>
      </c>
      <c r="CP63" s="1" t="str">
        <f>CP52</f>
        <v>Paita</v>
      </c>
      <c r="CQ63" s="1" t="str">
        <f>BN7</f>
        <v>Turbo/Sta.Marta</v>
      </c>
      <c r="CR63" s="1" t="str">
        <f>CP54</f>
        <v>Bolivar</v>
      </c>
      <c r="CS63" s="1" t="str">
        <f>CP55</f>
        <v>Castries</v>
      </c>
      <c r="CT63" s="1" t="str">
        <f>CP56</f>
        <v>Tema</v>
      </c>
      <c r="CU63" s="1" t="str">
        <f>CP57</f>
        <v>Manzanillo</v>
      </c>
      <c r="CV63" s="1" t="str">
        <f>CP58</f>
        <v>Corinto</v>
      </c>
      <c r="CW63" s="1" t="str">
        <f>CP59</f>
        <v>Douala</v>
      </c>
    </row>
    <row r="64" spans="1:101" x14ac:dyDescent="0.3">
      <c r="AQ64" s="41">
        <v>6</v>
      </c>
      <c r="AR64" s="44" t="str">
        <f t="shared" si="35"/>
        <v>FrançaisGana</v>
      </c>
      <c r="AS64" s="45" t="str">
        <f t="shared" si="36"/>
        <v>Ghana</v>
      </c>
      <c r="AT64" s="41"/>
      <c r="AU64" s="41"/>
      <c r="CE64" s="1"/>
      <c r="CH64" s="1"/>
      <c r="CI64" s="1"/>
      <c r="CJ64" s="1"/>
      <c r="CN64" s="41" t="s">
        <v>155</v>
      </c>
      <c r="CO64" s="1" t="str">
        <f>CQ51</f>
        <v>Colón (PA)</v>
      </c>
      <c r="CR64" s="1" t="str">
        <f>CQ54</f>
        <v>Guayaquil (llegando a puerto desde Machala)</v>
      </c>
      <c r="CU64" s="1" t="str">
        <f>CQ57</f>
        <v>Caucedo</v>
      </c>
      <c r="CV64" s="1" t="str">
        <f>CQ58</f>
        <v>Moin (CR)/Cortez (HN)</v>
      </c>
      <c r="CW64" s="1" t="str">
        <f>CB13</f>
        <v>Park Kribi</v>
      </c>
    </row>
    <row r="65" spans="43:97" x14ac:dyDescent="0.3">
      <c r="AQ65" s="41">
        <v>7</v>
      </c>
      <c r="AR65" s="44" t="str">
        <f t="shared" si="35"/>
        <v>FrançaisRepública Dominicana</v>
      </c>
      <c r="AS65" s="45" t="str">
        <f t="shared" si="36"/>
        <v>République dominicaine</v>
      </c>
      <c r="AT65" s="41"/>
      <c r="AU65" s="41"/>
      <c r="CE65" s="1"/>
      <c r="CH65" s="1"/>
      <c r="CI65" s="1"/>
      <c r="CJ65" s="1"/>
      <c r="CR65" s="1" t="str">
        <f>CQ55</f>
        <v>Guayaquil/Posorja (llegando a puerto desde Santa Elena)</v>
      </c>
    </row>
    <row r="66" spans="43:97" x14ac:dyDescent="0.3">
      <c r="AQ66" s="41">
        <v>8</v>
      </c>
      <c r="AR66" s="44" t="str">
        <f t="shared" si="35"/>
        <v>FrançaisNicarágua</v>
      </c>
      <c r="AS66" s="45" t="str">
        <f t="shared" si="36"/>
        <v>Nicaragua</v>
      </c>
      <c r="AT66" s="41"/>
      <c r="AU66" s="41"/>
      <c r="CE66" s="1"/>
      <c r="CH66" s="1"/>
      <c r="CI66" s="1"/>
      <c r="CJ66" s="1"/>
    </row>
    <row r="67" spans="43:97" x14ac:dyDescent="0.3">
      <c r="AQ67" s="41">
        <v>9</v>
      </c>
      <c r="AR67" s="44" t="str">
        <f t="shared" si="35"/>
        <v>FrançaisCamarões</v>
      </c>
      <c r="AS67" s="45" t="str">
        <f t="shared" si="36"/>
        <v>Cameroun</v>
      </c>
      <c r="AT67" s="41"/>
      <c r="AU67" s="41"/>
      <c r="CE67" s="1"/>
      <c r="CH67" s="1"/>
      <c r="CI67" s="1"/>
      <c r="CJ67" s="1"/>
      <c r="CS67" s="93" t="str">
        <f>IF($E$16=FALSE,"",
IF($D$2=$CJ$4,CO67,
IF($D$2=$CJ$5,CP67,
IF($D$2=$CJ$6,CQ67,
CR67))))</f>
        <v/>
      </c>
    </row>
    <row r="68" spans="43:97" x14ac:dyDescent="0.3">
      <c r="AQ68" s="41">
        <v>1</v>
      </c>
      <c r="AR68" s="104" t="str">
        <f t="shared" ref="AR68:AR76" si="37">BA32&amp;AZ50</f>
        <v>FrançaisPanamá</v>
      </c>
      <c r="AS68" s="45" t="str">
        <f t="shared" si="36"/>
        <v>Panama</v>
      </c>
      <c r="AT68" s="106" t="s">
        <v>102</v>
      </c>
      <c r="AU68" s="41" t="s">
        <v>100</v>
      </c>
      <c r="CE68" s="1"/>
      <c r="CH68" s="1"/>
      <c r="CI68" s="1"/>
      <c r="CJ68" s="1"/>
    </row>
    <row r="69" spans="43:97" x14ac:dyDescent="0.3">
      <c r="AQ69" s="41">
        <v>2</v>
      </c>
      <c r="AR69" s="44" t="str">
        <f t="shared" si="37"/>
        <v>FrançaisPerú</v>
      </c>
      <c r="AS69" s="45" t="str">
        <f t="shared" si="36"/>
        <v>Pérou</v>
      </c>
      <c r="AT69" s="41"/>
      <c r="AU69" s="41"/>
      <c r="CE69" s="1"/>
      <c r="CH69" s="1"/>
      <c r="CI69" s="1"/>
      <c r="CJ69" s="1"/>
    </row>
    <row r="70" spans="43:97" x14ac:dyDescent="0.3">
      <c r="AQ70" s="41">
        <v>3</v>
      </c>
      <c r="AR70" s="44" t="str">
        <f t="shared" si="37"/>
        <v>FrançaisColombia</v>
      </c>
      <c r="AS70" s="45" t="str">
        <f t="shared" si="36"/>
        <v>Colombie</v>
      </c>
      <c r="AT70" s="41"/>
      <c r="AU70" s="41"/>
      <c r="CE70" s="1"/>
      <c r="CH70" s="1"/>
      <c r="CI70" s="1"/>
      <c r="CJ70" s="1"/>
      <c r="CR70" s="93"/>
    </row>
    <row r="71" spans="43:97" x14ac:dyDescent="0.3">
      <c r="AQ71" s="41">
        <v>4</v>
      </c>
      <c r="AR71" s="44" t="str">
        <f t="shared" si="37"/>
        <v>FrançaisEcuador</v>
      </c>
      <c r="AS71" s="45" t="str">
        <f t="shared" si="36"/>
        <v>Équateur</v>
      </c>
      <c r="AT71" s="41"/>
      <c r="AU71" s="41"/>
      <c r="CR71" s="93"/>
    </row>
    <row r="72" spans="43:97" x14ac:dyDescent="0.3">
      <c r="AQ72" s="41">
        <v>5</v>
      </c>
      <c r="AR72" s="44" t="str">
        <f t="shared" si="37"/>
        <v>FrançaisSanta Lucía</v>
      </c>
      <c r="AS72" s="45" t="str">
        <f t="shared" si="36"/>
        <v>Sainte-Lucie</v>
      </c>
      <c r="AT72" s="41"/>
      <c r="AU72" s="41"/>
      <c r="CB72" s="106" t="s">
        <v>129</v>
      </c>
      <c r="CC72" s="106" t="s">
        <v>134</v>
      </c>
      <c r="CD72" s="106" t="s">
        <v>2</v>
      </c>
      <c r="CJ72" s="105" t="s">
        <v>130</v>
      </c>
      <c r="CK72" s="115" t="s">
        <v>131</v>
      </c>
      <c r="CR72" s="165"/>
    </row>
    <row r="73" spans="43:97" x14ac:dyDescent="0.3">
      <c r="AQ73" s="41">
        <v>6</v>
      </c>
      <c r="AR73" s="44" t="str">
        <f t="shared" si="37"/>
        <v>FrançaisGana</v>
      </c>
      <c r="AS73" s="45" t="str">
        <f t="shared" si="36"/>
        <v>Ghana</v>
      </c>
      <c r="AT73" s="41"/>
      <c r="AU73" s="41"/>
      <c r="BW73" s="42" t="s">
        <v>130</v>
      </c>
      <c r="BX73" s="138" t="s">
        <v>132</v>
      </c>
      <c r="BY73" s="43"/>
      <c r="BZ73" s="53">
        <v>1</v>
      </c>
      <c r="CA73" s="42" t="str">
        <f t="shared" ref="CA73:CA81" si="38">BL5&amp;"conv"&amp;BN5</f>
        <v>convMoin (CR)</v>
      </c>
      <c r="CB73" s="140">
        <f t="shared" ref="CB73:CB81" si="39">BM5</f>
        <v>1.7</v>
      </c>
      <c r="CC73" s="140">
        <f t="shared" ref="CC73:CC81" si="40">BW5</f>
        <v>7.75</v>
      </c>
      <c r="CD73" s="56">
        <f t="shared" ref="CD73:CD81" si="41">BP5</f>
        <v>11</v>
      </c>
      <c r="CJ73" s="44" t="str">
        <f>BL5</f>
        <v/>
      </c>
      <c r="CK73" s="45" t="str">
        <f>BL6</f>
        <v/>
      </c>
    </row>
    <row r="74" spans="43:97" x14ac:dyDescent="0.3">
      <c r="AQ74" s="41">
        <v>7</v>
      </c>
      <c r="AR74" s="44" t="str">
        <f t="shared" si="37"/>
        <v>FrançaisRepública Dominicana</v>
      </c>
      <c r="AS74" s="45" t="str">
        <f t="shared" si="36"/>
        <v>République dominicaine</v>
      </c>
      <c r="AT74" s="41"/>
      <c r="AU74" s="41"/>
      <c r="BW74" s="44"/>
      <c r="BY74" s="45"/>
      <c r="BZ74" s="54">
        <v>2</v>
      </c>
      <c r="CA74" s="44" t="str">
        <f t="shared" si="38"/>
        <v>convPaita</v>
      </c>
      <c r="CB74" s="1">
        <f t="shared" si="39"/>
        <v>1.95</v>
      </c>
      <c r="CC74" s="141">
        <f t="shared" si="40"/>
        <v>0</v>
      </c>
      <c r="CD74" s="142">
        <f t="shared" si="41"/>
        <v>0</v>
      </c>
      <c r="CJ74" s="44" t="str">
        <f t="shared" ref="CJ74:CJ80" si="42">BL7</f>
        <v/>
      </c>
      <c r="CK74" s="45" t="str">
        <f>CJ75</f>
        <v/>
      </c>
      <c r="CS74" s="1" t="s">
        <v>19</v>
      </c>
    </row>
    <row r="75" spans="43:97" x14ac:dyDescent="0.3">
      <c r="AQ75" s="41">
        <v>8</v>
      </c>
      <c r="AR75" s="44" t="str">
        <f t="shared" si="37"/>
        <v>FrançaisNicaragua</v>
      </c>
      <c r="AS75" s="45" t="str">
        <f t="shared" si="36"/>
        <v>Nicaragua</v>
      </c>
      <c r="AT75" s="41"/>
      <c r="AU75" s="41"/>
      <c r="BW75" s="44"/>
      <c r="BY75" s="45"/>
      <c r="BZ75" s="54">
        <v>3</v>
      </c>
      <c r="CA75" s="44" t="str">
        <f t="shared" si="38"/>
        <v>convTurbo/Sta.Marta</v>
      </c>
      <c r="CB75" s="1">
        <f t="shared" si="39"/>
        <v>1.74</v>
      </c>
      <c r="CC75" s="1">
        <f t="shared" si="40"/>
        <v>8</v>
      </c>
      <c r="CD75" s="65">
        <f t="shared" si="41"/>
        <v>11.4</v>
      </c>
      <c r="CJ75" s="44" t="str">
        <f t="shared" si="42"/>
        <v/>
      </c>
      <c r="CK75" s="45" t="str">
        <f>CJ77</f>
        <v/>
      </c>
      <c r="CS75" s="1" t="s">
        <v>19</v>
      </c>
    </row>
    <row r="76" spans="43:97" x14ac:dyDescent="0.3">
      <c r="AQ76" s="41">
        <v>9</v>
      </c>
      <c r="AR76" s="44" t="str">
        <f t="shared" si="37"/>
        <v>FrançaisCamerún</v>
      </c>
      <c r="AS76" s="45" t="str">
        <f t="shared" si="36"/>
        <v>Cameroun</v>
      </c>
      <c r="AT76" s="41"/>
      <c r="AU76" s="41"/>
      <c r="BW76" s="44"/>
      <c r="BY76" s="45"/>
      <c r="BZ76" s="54">
        <v>4</v>
      </c>
      <c r="CA76" s="44" t="str">
        <f t="shared" si="38"/>
        <v>convBolivar</v>
      </c>
      <c r="CB76" s="1">
        <f t="shared" si="39"/>
        <v>1.85</v>
      </c>
      <c r="CC76" s="1">
        <f t="shared" si="40"/>
        <v>7.1</v>
      </c>
      <c r="CD76" s="65">
        <f t="shared" si="41"/>
        <v>10.9</v>
      </c>
      <c r="CJ76" s="44" t="str">
        <f t="shared" si="42"/>
        <v/>
      </c>
      <c r="CK76" s="45" t="str">
        <f>CJ78</f>
        <v/>
      </c>
      <c r="CS76" s="1" t="s">
        <v>19</v>
      </c>
    </row>
    <row r="77" spans="43:97" x14ac:dyDescent="0.3">
      <c r="AQ77" s="41">
        <v>1</v>
      </c>
      <c r="AR77" s="104" t="str">
        <f t="shared" ref="AR77:AR85" si="43">BA41&amp;AZ23</f>
        <v>PortuguêsPanama</v>
      </c>
      <c r="AS77" s="45" t="str">
        <f>AZ41</f>
        <v>Panamá</v>
      </c>
      <c r="AT77" s="106" t="s">
        <v>103</v>
      </c>
      <c r="AU77" s="41" t="s">
        <v>104</v>
      </c>
      <c r="BW77" s="44"/>
      <c r="BY77" s="45"/>
      <c r="BZ77" s="54">
        <v>5</v>
      </c>
      <c r="CA77" s="44" t="str">
        <f t="shared" si="38"/>
        <v>convCastries</v>
      </c>
      <c r="CB77" s="1">
        <f t="shared" si="39"/>
        <v>2.25</v>
      </c>
      <c r="CC77" s="1">
        <f t="shared" si="40"/>
        <v>9</v>
      </c>
      <c r="CD77" s="65">
        <f t="shared" si="41"/>
        <v>13.1</v>
      </c>
      <c r="CJ77" s="44" t="str">
        <f t="shared" si="42"/>
        <v/>
      </c>
      <c r="CK77" s="45" t="str">
        <f>CJ74</f>
        <v/>
      </c>
    </row>
    <row r="78" spans="43:97" x14ac:dyDescent="0.3">
      <c r="AQ78" s="41">
        <v>2</v>
      </c>
      <c r="AR78" s="44" t="str">
        <f t="shared" si="43"/>
        <v>PortuguêsPeru</v>
      </c>
      <c r="AS78" s="45" t="str">
        <f>AZ42</f>
        <v>Peru</v>
      </c>
      <c r="AT78" s="41"/>
      <c r="AU78" s="41"/>
      <c r="BW78" s="44"/>
      <c r="BY78" s="45"/>
      <c r="BZ78" s="54">
        <v>6</v>
      </c>
      <c r="CA78" s="44" t="str">
        <f t="shared" si="38"/>
        <v>convTema</v>
      </c>
      <c r="CB78" s="1">
        <f t="shared" si="39"/>
        <v>1.74</v>
      </c>
      <c r="CC78" s="1">
        <f t="shared" si="40"/>
        <v>7.45</v>
      </c>
      <c r="CD78" s="65">
        <f t="shared" si="41"/>
        <v>10.4</v>
      </c>
      <c r="CJ78" s="44" t="str">
        <f t="shared" si="42"/>
        <v/>
      </c>
      <c r="CK78" s="45"/>
    </row>
    <row r="79" spans="43:97" x14ac:dyDescent="0.3">
      <c r="AQ79" s="41">
        <v>3</v>
      </c>
      <c r="AR79" s="44" t="str">
        <f t="shared" si="43"/>
        <v>PortuguêsColombia</v>
      </c>
      <c r="AS79" s="45" t="str">
        <f>AZ43</f>
        <v>Colômbia</v>
      </c>
      <c r="AT79" s="41"/>
      <c r="AU79" s="41"/>
      <c r="BW79" s="44"/>
      <c r="BY79" s="45"/>
      <c r="BZ79" s="54">
        <v>7</v>
      </c>
      <c r="CA79" s="44" t="str">
        <f t="shared" si="38"/>
        <v>convManzanillo</v>
      </c>
      <c r="CB79" s="1">
        <f t="shared" si="39"/>
        <v>2.38</v>
      </c>
      <c r="CC79" s="1">
        <f t="shared" si="40"/>
        <v>7.85</v>
      </c>
      <c r="CD79" s="65">
        <f t="shared" si="41"/>
        <v>12.45</v>
      </c>
      <c r="CJ79" s="44" t="str">
        <f t="shared" si="42"/>
        <v/>
      </c>
      <c r="CK79" s="45"/>
      <c r="CS79" s="1" t="s">
        <v>19</v>
      </c>
    </row>
    <row r="80" spans="43:97" x14ac:dyDescent="0.3">
      <c r="AQ80" s="41">
        <v>4</v>
      </c>
      <c r="AR80" s="44" t="str">
        <f t="shared" si="43"/>
        <v>PortuguêsEcuador</v>
      </c>
      <c r="AS80" s="45" t="str">
        <f>AZ44</f>
        <v>Equador</v>
      </c>
      <c r="AT80" s="41"/>
      <c r="AU80" s="41"/>
      <c r="BW80" s="44"/>
      <c r="BY80" s="45"/>
      <c r="BZ80" s="54">
        <v>8</v>
      </c>
      <c r="CA80" s="44" t="str">
        <f t="shared" si="38"/>
        <v>convCorinto</v>
      </c>
      <c r="CB80" s="1">
        <f t="shared" si="39"/>
        <v>1.9</v>
      </c>
      <c r="CC80" s="1">
        <f t="shared" si="40"/>
        <v>7.15</v>
      </c>
      <c r="CD80" s="143">
        <f t="shared" si="41"/>
        <v>10.85</v>
      </c>
      <c r="CJ80" s="46" t="str">
        <f t="shared" si="42"/>
        <v/>
      </c>
      <c r="CK80" s="47"/>
    </row>
    <row r="81" spans="43:97" x14ac:dyDescent="0.3">
      <c r="AQ81" s="41">
        <v>5</v>
      </c>
      <c r="AR81" s="44" t="str">
        <f t="shared" si="43"/>
        <v>PortuguêsSaint Lucia</v>
      </c>
      <c r="AS81" s="45" t="str">
        <f t="shared" ref="AS81:AS85" si="44">AZ45</f>
        <v>Santa Lúcia</v>
      </c>
      <c r="AT81" s="41"/>
      <c r="AU81" s="41"/>
      <c r="BW81" s="44"/>
      <c r="BY81" s="45"/>
      <c r="BZ81" s="55">
        <v>9</v>
      </c>
      <c r="CA81" s="46" t="str">
        <f t="shared" si="38"/>
        <v>convDouala</v>
      </c>
      <c r="CB81" s="70">
        <f t="shared" si="39"/>
        <v>1.71</v>
      </c>
      <c r="CC81" s="70">
        <f t="shared" si="40"/>
        <v>7.3</v>
      </c>
      <c r="CD81" s="144">
        <f t="shared" si="41"/>
        <v>10.199999999999999</v>
      </c>
      <c r="CO81" s="128" t="str">
        <f>"Costs for the use of IFCO crates for the producer trading at FOB level (From the following list "&amp;CO82&amp;" trading at FOB level: rental of IFCO crates, destocking, customs and clearance, transport of IFCO crates to the farm, etc.):"</f>
        <v>Costs for the use of IFCO crates for the producer trading at FOB level (From the following list " C O N S I D E R   O N L Y   T H O S E   C O S T S   I N C U R R E D   B Y   T H E   P R O D U C E R " trading at FOB level: rental of IFCO crates, destocking, customs and clearance, transport of IFCO crates to the farm, etc.):</v>
      </c>
      <c r="CP81" s="128" t="str">
        <f>"Coûts d'utilisation des caisses IFCO pour le producteur négociant au niveau FOB (A partir de la liste suivante "&amp;CP82&amp;" négociant au niveau FOB : location des caisses IFCO, déstockage, douane et dédouanement, transport des caisses IFCO jusqu'à l'exploitation, etc.):"</f>
        <v>Coûts d'utilisation des caisses IFCO pour le producteur négociant au niveau FOB (A partir de la liste suivante " N E   C O N S I D E R E R   Q U E   L E S   C O U T S   S U P P O R T E S   P A R   L E   P R O D U C T E U R " négociant au niveau FOB : location des caisses IFCO, déstockage, douane et dédouanement, transport des caisses IFCO jusqu'à l'exploitation, etc.):</v>
      </c>
      <c r="CQ81" s="128" t="str">
        <f>"Custos de utilização de caixas IFCO para o produtor que efectua trocas comerciais ao nível FOB (da lista seguinte "&amp;CQ82&amp;" que comercializa ao nível FOB: aluguer de caixas IFCO, desarmazenagem, alfândegas e desalfandegamento, transporte das caixas IFCO para a exploração, etc.):"</f>
        <v>Custos de utilização de caixas IFCO para o produtor que efectua trocas comerciais ao nível FOB (da lista seguinte " C O N S I D E R A R   A P E N A S   O S   C U S T O S   I N C O R R I D O S   P E L O   P R O D U C E R " que comercializa ao nível FOB: aluguer de caixas IFCO, desarmazenagem, alfândegas e desalfandegamento, transporte das caixas IFCO para a exploração, etc.):</v>
      </c>
      <c r="CR81" s="128" t="str">
        <f>"Costos por uso de cajas IFCO para el productor que comercializa a nivel FOB (De la siguiente lista "&amp;CR82&amp;" que comercializa a nivel FOB: arriendo de cajas IFCO, desalmacenaje, nacionalización, transporte de cajas IFCO a la finca, etc):"</f>
        <v>Costos por uso de cajas IFCO para el productor que comercializa a nivel FOB (De la siguiente lista " C O N S I D E R E   S O L A M E N T E   A Q U E L L O S   C O S T O S   I N C U R R I D O S   P O R   E L   P R O D U C T O R " que comercializa a nivel FOB: arriendo de cajas IFCO, desalmacenaje, nacionalización, transporte de cajas IFCO a la finca, etc):</v>
      </c>
    </row>
    <row r="82" spans="43:97" x14ac:dyDescent="0.3">
      <c r="AQ82" s="41">
        <v>6</v>
      </c>
      <c r="AR82" s="44" t="str">
        <f t="shared" si="43"/>
        <v>PortuguêsGhana</v>
      </c>
      <c r="AS82" s="45" t="str">
        <f t="shared" si="44"/>
        <v>Gana</v>
      </c>
      <c r="AT82" s="41"/>
      <c r="AU82" s="41"/>
      <c r="BW82" s="44" t="s">
        <v>130</v>
      </c>
      <c r="BX82" s="41" t="s">
        <v>133</v>
      </c>
      <c r="BY82" s="45"/>
      <c r="BZ82" s="53">
        <v>1</v>
      </c>
      <c r="CA82" s="42" t="str">
        <f>BL5&amp;"conv"&amp;CB5</f>
        <v>convColón (PA)</v>
      </c>
      <c r="CB82" s="138">
        <f>CB73</f>
        <v>1.7</v>
      </c>
      <c r="CC82" s="138">
        <f>CC73</f>
        <v>7.75</v>
      </c>
      <c r="CD82" s="145">
        <f>BZ5+CC82</f>
        <v>12.45</v>
      </c>
      <c r="CO82" s="166" t="s">
        <v>172</v>
      </c>
      <c r="CP82" s="167" t="s">
        <v>173</v>
      </c>
      <c r="CQ82" s="167" t="s">
        <v>174</v>
      </c>
      <c r="CR82" s="168" t="s">
        <v>171</v>
      </c>
      <c r="CS82" s="1" t="s">
        <v>19</v>
      </c>
    </row>
    <row r="83" spans="43:97" x14ac:dyDescent="0.3">
      <c r="AQ83" s="41">
        <v>7</v>
      </c>
      <c r="AR83" s="44" t="str">
        <f t="shared" si="43"/>
        <v>PortuguêsDominican Republic</v>
      </c>
      <c r="AS83" s="45" t="str">
        <f t="shared" si="44"/>
        <v>República Dominicana</v>
      </c>
      <c r="AT83" s="41"/>
      <c r="AU83" s="41"/>
      <c r="BW83" s="44"/>
      <c r="BY83" s="45"/>
      <c r="BZ83" s="54">
        <v>2</v>
      </c>
      <c r="CA83" s="44" t="str">
        <f>BL6&amp;"conv"&amp;CB6</f>
        <v>conv</v>
      </c>
      <c r="CB83" s="41">
        <f t="shared" ref="CB83:CC108" si="45">CB74</f>
        <v>1.95</v>
      </c>
      <c r="CC83" s="146">
        <f t="shared" si="45"/>
        <v>0</v>
      </c>
      <c r="CD83" s="147">
        <f>BZ6+CC83</f>
        <v>0</v>
      </c>
      <c r="CO83" s="1" t="s">
        <v>141</v>
      </c>
      <c r="CP83" s="1" t="s">
        <v>142</v>
      </c>
      <c r="CQ83" s="1" t="s">
        <v>143</v>
      </c>
      <c r="CR83" s="1" t="s">
        <v>144</v>
      </c>
    </row>
    <row r="84" spans="43:97" x14ac:dyDescent="0.3">
      <c r="AQ84" s="41">
        <v>8</v>
      </c>
      <c r="AR84" s="44" t="str">
        <f t="shared" si="43"/>
        <v>PortuguêsNicaragua</v>
      </c>
      <c r="AS84" s="45" t="str">
        <f t="shared" si="44"/>
        <v>Nicarágua</v>
      </c>
      <c r="AT84" s="41"/>
      <c r="AU84" s="41"/>
      <c r="BW84" s="44"/>
      <c r="BY84" s="45"/>
      <c r="BZ84" s="54">
        <v>3</v>
      </c>
      <c r="CA84" s="44" t="str">
        <f>BL7&amp;"conv"&amp;CB7</f>
        <v>conv</v>
      </c>
      <c r="CB84" s="41">
        <f t="shared" si="45"/>
        <v>1.74</v>
      </c>
      <c r="CC84" s="41">
        <f t="shared" si="45"/>
        <v>8</v>
      </c>
      <c r="CD84" s="147">
        <f>(BZ7+CC84)*0</f>
        <v>0</v>
      </c>
      <c r="CO84" s="1" t="s">
        <v>145</v>
      </c>
      <c r="CP84" s="1" t="s">
        <v>146</v>
      </c>
      <c r="CQ84" s="1" t="s">
        <v>147</v>
      </c>
      <c r="CR84" s="1" t="s">
        <v>148</v>
      </c>
    </row>
    <row r="85" spans="43:97" x14ac:dyDescent="0.3">
      <c r="AQ85" s="41">
        <v>9</v>
      </c>
      <c r="AR85" s="44" t="str">
        <f t="shared" si="43"/>
        <v>PortuguêsCameroon</v>
      </c>
      <c r="AS85" s="45" t="str">
        <f t="shared" si="44"/>
        <v>Camarões</v>
      </c>
      <c r="AT85" s="41"/>
      <c r="AU85" s="41"/>
      <c r="BW85" s="44"/>
      <c r="BY85" s="45"/>
      <c r="BZ85" s="54">
        <v>4</v>
      </c>
      <c r="CA85" s="44" t="str">
        <f>BL8&amp;"conv"&amp;CB8</f>
        <v>convGuayaquil (llegando a puerto desde Machala)</v>
      </c>
      <c r="CB85" s="41">
        <f t="shared" si="45"/>
        <v>1.85</v>
      </c>
      <c r="CC85" s="41">
        <f>CC76</f>
        <v>7.1</v>
      </c>
      <c r="CD85" s="148">
        <f>BZ8+CC85</f>
        <v>11.219999999999999</v>
      </c>
      <c r="CO85" s="41"/>
      <c r="CR85" s="1" t="s">
        <v>170</v>
      </c>
    </row>
    <row r="86" spans="43:97" x14ac:dyDescent="0.3">
      <c r="AQ86" s="41">
        <v>1</v>
      </c>
      <c r="AR86" s="104" t="str">
        <f t="shared" ref="AR86:AR94" si="46">BA41&amp;AZ32</f>
        <v>PortuguêsPanama</v>
      </c>
      <c r="AS86" s="45" t="str">
        <f t="shared" ref="AS86:AS103" si="47">AS77</f>
        <v>Panamá</v>
      </c>
      <c r="AT86" s="106" t="s">
        <v>105</v>
      </c>
      <c r="AU86" s="41" t="s">
        <v>104</v>
      </c>
      <c r="BW86" s="44"/>
      <c r="BY86" s="45"/>
      <c r="BZ86" s="54">
        <v>5</v>
      </c>
      <c r="CA86" s="149" t="str">
        <f>BL8&amp;"conv"&amp;CB9</f>
        <v>convGuayaquil/Posorja (llegando a puerto desde Santa Elena)</v>
      </c>
      <c r="CB86" s="150">
        <f>CB77*0+CB76</f>
        <v>1.85</v>
      </c>
      <c r="CC86" s="150">
        <f>CC77*0+CC76</f>
        <v>7.1</v>
      </c>
      <c r="CD86" s="151">
        <f>(BZ9+CC86)*1</f>
        <v>10.98</v>
      </c>
      <c r="CO86" s="177" t="s">
        <v>169</v>
      </c>
    </row>
    <row r="87" spans="43:97" x14ac:dyDescent="0.3">
      <c r="AQ87" s="41">
        <v>2</v>
      </c>
      <c r="AR87" s="44" t="str">
        <f t="shared" si="46"/>
        <v>PortuguêsPérou</v>
      </c>
      <c r="AS87" s="45" t="str">
        <f t="shared" si="47"/>
        <v>Peru</v>
      </c>
      <c r="AT87" s="41"/>
      <c r="AU87" s="41"/>
      <c r="BW87" s="44"/>
      <c r="BY87" s="45"/>
      <c r="BZ87" s="54">
        <v>6</v>
      </c>
      <c r="CA87" s="44" t="str">
        <f>BL10&amp;"conv"&amp;CB10</f>
        <v>conv</v>
      </c>
      <c r="CB87" s="41">
        <f t="shared" si="45"/>
        <v>1.74</v>
      </c>
      <c r="CC87" s="41">
        <f t="shared" si="45"/>
        <v>7.45</v>
      </c>
      <c r="CD87" s="147">
        <f>(BZ10+CC87)*0</f>
        <v>0</v>
      </c>
      <c r="CO87" s="41"/>
    </row>
    <row r="88" spans="43:97" x14ac:dyDescent="0.3">
      <c r="AQ88" s="41">
        <v>3</v>
      </c>
      <c r="AR88" s="44" t="str">
        <f t="shared" si="46"/>
        <v>PortuguêsColombie</v>
      </c>
      <c r="AS88" s="45" t="str">
        <f t="shared" si="47"/>
        <v>Colômbia</v>
      </c>
      <c r="AT88" s="41"/>
      <c r="AU88" s="41"/>
      <c r="BW88" s="44"/>
      <c r="BY88" s="45"/>
      <c r="BZ88" s="54">
        <v>7</v>
      </c>
      <c r="CA88" s="44" t="str">
        <f>BL11&amp;"conv"&amp;CB11</f>
        <v>convCaucedo</v>
      </c>
      <c r="CB88" s="41">
        <f t="shared" si="45"/>
        <v>2.38</v>
      </c>
      <c r="CC88" s="41">
        <f t="shared" si="45"/>
        <v>7.85</v>
      </c>
      <c r="CD88" s="148">
        <f>BZ11+CC88</f>
        <v>12.42</v>
      </c>
      <c r="CO88" s="41"/>
    </row>
    <row r="89" spans="43:97" x14ac:dyDescent="0.3">
      <c r="AQ89" s="41">
        <v>4</v>
      </c>
      <c r="AR89" s="44" t="str">
        <f t="shared" si="46"/>
        <v>PortuguêsÉquateur</v>
      </c>
      <c r="AS89" s="45" t="str">
        <f t="shared" si="47"/>
        <v>Equador</v>
      </c>
      <c r="AT89" s="41"/>
      <c r="AU89" s="41"/>
      <c r="BW89" s="44"/>
      <c r="BY89" s="45"/>
      <c r="BZ89" s="54">
        <v>8</v>
      </c>
      <c r="CA89" s="44" t="str">
        <f>BL12&amp;"conv"&amp;CB12</f>
        <v>convMoin (CR)/Cortez (HN)</v>
      </c>
      <c r="CB89" s="41">
        <f t="shared" si="45"/>
        <v>1.9</v>
      </c>
      <c r="CC89" s="41">
        <f t="shared" si="45"/>
        <v>7.15</v>
      </c>
      <c r="CD89" s="148">
        <f>BZ12+CC89</f>
        <v>11.74</v>
      </c>
    </row>
    <row r="90" spans="43:97" x14ac:dyDescent="0.3">
      <c r="AQ90" s="41">
        <v>5</v>
      </c>
      <c r="AR90" s="44" t="str">
        <f t="shared" si="46"/>
        <v>PortuguêsSainte-Lucie</v>
      </c>
      <c r="AS90" s="45" t="str">
        <f t="shared" si="47"/>
        <v>Santa Lúcia</v>
      </c>
      <c r="AT90" s="41"/>
      <c r="AU90" s="41"/>
      <c r="BW90" s="46"/>
      <c r="BX90" s="139"/>
      <c r="BY90" s="47"/>
      <c r="BZ90" s="55">
        <v>9</v>
      </c>
      <c r="CA90" s="46" t="str">
        <f>BL13&amp;"conv"&amp;CB13</f>
        <v>convPark Kribi</v>
      </c>
      <c r="CB90" s="139">
        <f t="shared" si="45"/>
        <v>1.71</v>
      </c>
      <c r="CC90" s="139">
        <f t="shared" si="45"/>
        <v>7.3</v>
      </c>
      <c r="CD90" s="152">
        <f>(BZ13+CC90)*1</f>
        <v>9.9600000000000009</v>
      </c>
    </row>
    <row r="91" spans="43:97" x14ac:dyDescent="0.3">
      <c r="AQ91" s="41">
        <v>6</v>
      </c>
      <c r="AR91" s="44" t="str">
        <f t="shared" si="46"/>
        <v>PortuguêsGhana</v>
      </c>
      <c r="AS91" s="45" t="str">
        <f t="shared" si="47"/>
        <v>Gana</v>
      </c>
      <c r="AT91" s="41"/>
      <c r="AU91" s="41"/>
      <c r="BW91" s="42" t="s">
        <v>131</v>
      </c>
      <c r="BX91" s="138" t="s">
        <v>132</v>
      </c>
      <c r="BY91" s="43"/>
      <c r="BZ91" s="53">
        <v>1</v>
      </c>
      <c r="CA91" s="42" t="str">
        <f t="shared" ref="CA91:CA99" si="48">BL5&amp;"org"&amp;BN5</f>
        <v>orgMoin (CR)</v>
      </c>
      <c r="CB91" s="138">
        <f t="shared" si="45"/>
        <v>1.7</v>
      </c>
      <c r="CC91" s="153">
        <f t="shared" ref="CC91:CC99" si="49">BX5</f>
        <v>0</v>
      </c>
      <c r="CD91" s="154">
        <f t="shared" ref="CD91:CD99" si="50">BQ5</f>
        <v>0</v>
      </c>
    </row>
    <row r="92" spans="43:97" x14ac:dyDescent="0.3">
      <c r="AQ92" s="41">
        <v>7</v>
      </c>
      <c r="AR92" s="44" t="str">
        <f t="shared" si="46"/>
        <v>PortuguêsRépublique dominicaine</v>
      </c>
      <c r="AS92" s="45" t="str">
        <f t="shared" si="47"/>
        <v>República Dominicana</v>
      </c>
      <c r="AT92" s="41"/>
      <c r="AU92" s="41"/>
      <c r="BW92" s="44"/>
      <c r="BY92" s="45"/>
      <c r="BZ92" s="54">
        <v>2</v>
      </c>
      <c r="CA92" s="44" t="str">
        <f t="shared" si="48"/>
        <v>orgPaita</v>
      </c>
      <c r="CB92" s="41">
        <f t="shared" si="45"/>
        <v>1.95</v>
      </c>
      <c r="CC92" s="1">
        <f t="shared" si="49"/>
        <v>9.6999999999999993</v>
      </c>
      <c r="CD92" s="65">
        <f t="shared" si="50"/>
        <v>13.8</v>
      </c>
    </row>
    <row r="93" spans="43:97" x14ac:dyDescent="0.3">
      <c r="AQ93" s="41">
        <v>8</v>
      </c>
      <c r="AR93" s="44" t="str">
        <f t="shared" si="46"/>
        <v>PortuguêsNicaragua</v>
      </c>
      <c r="AS93" s="45" t="str">
        <f t="shared" si="47"/>
        <v>Nicarágua</v>
      </c>
      <c r="AT93" s="41"/>
      <c r="AU93" s="41"/>
      <c r="BW93" s="44"/>
      <c r="BY93" s="45"/>
      <c r="BZ93" s="54">
        <v>3</v>
      </c>
      <c r="CA93" s="44" t="str">
        <f t="shared" si="48"/>
        <v>orgTurbo/Sta.Marta</v>
      </c>
      <c r="CB93" s="41">
        <f t="shared" si="45"/>
        <v>1.74</v>
      </c>
      <c r="CC93" s="141">
        <f t="shared" si="49"/>
        <v>10.25</v>
      </c>
      <c r="CD93" s="142">
        <f t="shared" si="50"/>
        <v>13.75</v>
      </c>
    </row>
    <row r="94" spans="43:97" x14ac:dyDescent="0.3">
      <c r="AQ94" s="41">
        <v>9</v>
      </c>
      <c r="AR94" s="44" t="str">
        <f t="shared" si="46"/>
        <v>PortuguêsCameroun</v>
      </c>
      <c r="AS94" s="45" t="str">
        <f t="shared" si="47"/>
        <v>Camarões</v>
      </c>
      <c r="AT94" s="41"/>
      <c r="AU94" s="41"/>
      <c r="BW94" s="44"/>
      <c r="BY94" s="45"/>
      <c r="BZ94" s="54">
        <v>4</v>
      </c>
      <c r="CA94" s="44" t="str">
        <f t="shared" si="48"/>
        <v>orgBolivar</v>
      </c>
      <c r="CB94" s="41">
        <f t="shared" si="45"/>
        <v>1.85</v>
      </c>
      <c r="CC94" s="1">
        <f t="shared" si="49"/>
        <v>9.75</v>
      </c>
      <c r="CD94" s="65">
        <f t="shared" si="50"/>
        <v>13.7</v>
      </c>
    </row>
    <row r="95" spans="43:97" x14ac:dyDescent="0.3">
      <c r="AQ95" s="41">
        <v>1</v>
      </c>
      <c r="AR95" s="104" t="str">
        <f>BA41&amp;AZ50</f>
        <v>PortuguêsPanamá</v>
      </c>
      <c r="AS95" s="45" t="str">
        <f t="shared" si="47"/>
        <v>Panamá</v>
      </c>
      <c r="AT95" s="106" t="s">
        <v>106</v>
      </c>
      <c r="AU95" s="41" t="s">
        <v>104</v>
      </c>
      <c r="BW95" s="44"/>
      <c r="BY95" s="45"/>
      <c r="BZ95" s="54">
        <v>5</v>
      </c>
      <c r="CA95" s="44" t="str">
        <f t="shared" si="48"/>
        <v>orgCastries</v>
      </c>
      <c r="CB95" s="150">
        <f>CB86*0+CB77</f>
        <v>2.25</v>
      </c>
      <c r="CC95" s="141">
        <f t="shared" si="49"/>
        <v>0</v>
      </c>
      <c r="CD95" s="142">
        <f t="shared" si="50"/>
        <v>0</v>
      </c>
    </row>
    <row r="96" spans="43:97" x14ac:dyDescent="0.3">
      <c r="AQ96" s="41">
        <v>2</v>
      </c>
      <c r="AR96" s="44" t="str">
        <f>BA42&amp;AZ51</f>
        <v>PortuguêsPerú</v>
      </c>
      <c r="AS96" s="45" t="str">
        <f t="shared" si="47"/>
        <v>Peru</v>
      </c>
      <c r="AT96" s="41"/>
      <c r="AU96" s="41"/>
      <c r="BW96" s="44"/>
      <c r="BY96" s="45"/>
      <c r="BZ96" s="54">
        <v>6</v>
      </c>
      <c r="CA96" s="44" t="str">
        <f t="shared" si="48"/>
        <v>orgTema</v>
      </c>
      <c r="CB96" s="41">
        <f t="shared" si="45"/>
        <v>1.74</v>
      </c>
      <c r="CC96" s="1">
        <f t="shared" si="49"/>
        <v>10.1</v>
      </c>
      <c r="CD96" s="65">
        <f t="shared" si="50"/>
        <v>13.05</v>
      </c>
    </row>
    <row r="97" spans="43:82" x14ac:dyDescent="0.3">
      <c r="AQ97" s="41">
        <v>3</v>
      </c>
      <c r="AR97" s="44" t="str">
        <f>BA43&amp;AZ52</f>
        <v>PortuguêsColombia</v>
      </c>
      <c r="AS97" s="45" t="str">
        <f t="shared" si="47"/>
        <v>Colômbia</v>
      </c>
      <c r="AT97" s="41"/>
      <c r="AU97" s="41"/>
      <c r="BW97" s="44"/>
      <c r="BY97" s="45"/>
      <c r="BZ97" s="54">
        <v>7</v>
      </c>
      <c r="CA97" s="44" t="str">
        <f t="shared" si="48"/>
        <v>orgManzanillo</v>
      </c>
      <c r="CB97" s="41">
        <f t="shared" si="45"/>
        <v>2.38</v>
      </c>
      <c r="CC97" s="1">
        <f t="shared" si="49"/>
        <v>10.3</v>
      </c>
      <c r="CD97" s="65">
        <f t="shared" si="50"/>
        <v>14.9</v>
      </c>
    </row>
    <row r="98" spans="43:82" x14ac:dyDescent="0.3">
      <c r="AQ98" s="41">
        <v>4</v>
      </c>
      <c r="AR98" s="44" t="str">
        <f>BA44&amp;AZ53</f>
        <v>PortuguêsEcuador</v>
      </c>
      <c r="AS98" s="45" t="str">
        <f t="shared" si="47"/>
        <v>Equador</v>
      </c>
      <c r="AT98" s="41"/>
      <c r="AU98" s="41"/>
      <c r="BW98" s="44"/>
      <c r="BY98" s="45"/>
      <c r="BZ98" s="54">
        <v>8</v>
      </c>
      <c r="CA98" s="44" t="str">
        <f t="shared" si="48"/>
        <v>orgCorinto</v>
      </c>
      <c r="CB98" s="41">
        <f t="shared" si="45"/>
        <v>1.9</v>
      </c>
      <c r="CC98" s="141">
        <f t="shared" si="49"/>
        <v>0</v>
      </c>
      <c r="CD98" s="142">
        <f t="shared" si="50"/>
        <v>0</v>
      </c>
    </row>
    <row r="99" spans="43:82" x14ac:dyDescent="0.3">
      <c r="AQ99" s="41">
        <v>5</v>
      </c>
      <c r="AR99" s="44" t="str">
        <f t="shared" ref="AR99:AR103" si="51">BA45&amp;AZ54</f>
        <v>PortuguêsSanta Lucía</v>
      </c>
      <c r="AS99" s="45" t="str">
        <f t="shared" si="47"/>
        <v>Santa Lúcia</v>
      </c>
      <c r="AT99" s="41"/>
      <c r="AU99" s="41"/>
      <c r="BW99" s="44"/>
      <c r="BY99" s="45"/>
      <c r="BZ99" s="55">
        <v>9</v>
      </c>
      <c r="CA99" s="46" t="str">
        <f t="shared" si="48"/>
        <v>orgDouala</v>
      </c>
      <c r="CB99" s="139">
        <f t="shared" si="45"/>
        <v>1.71</v>
      </c>
      <c r="CC99" s="158">
        <f t="shared" si="49"/>
        <v>0</v>
      </c>
      <c r="CD99" s="159">
        <f t="shared" si="50"/>
        <v>0</v>
      </c>
    </row>
    <row r="100" spans="43:82" x14ac:dyDescent="0.3">
      <c r="AQ100" s="41">
        <v>6</v>
      </c>
      <c r="AR100" s="44" t="str">
        <f t="shared" si="51"/>
        <v>PortuguêsGana</v>
      </c>
      <c r="AS100" s="45" t="str">
        <f t="shared" si="47"/>
        <v>Gana</v>
      </c>
      <c r="AT100" s="41"/>
      <c r="AU100" s="41"/>
      <c r="BW100" s="44" t="s">
        <v>131</v>
      </c>
      <c r="BX100" s="41" t="s">
        <v>133</v>
      </c>
      <c r="BY100" s="45"/>
      <c r="BZ100" s="53">
        <v>1</v>
      </c>
      <c r="CA100" s="44" t="str">
        <f>BL5&amp;"org"&amp;CB5</f>
        <v>orgColón (PA)</v>
      </c>
      <c r="CB100" s="41">
        <f t="shared" si="45"/>
        <v>1.7</v>
      </c>
      <c r="CC100" s="146">
        <f>CC91</f>
        <v>0</v>
      </c>
      <c r="CD100" s="155">
        <f>CA5+CC100</f>
        <v>0</v>
      </c>
    </row>
    <row r="101" spans="43:82" x14ac:dyDescent="0.3">
      <c r="AQ101" s="41">
        <v>7</v>
      </c>
      <c r="AR101" s="44" t="str">
        <f t="shared" si="51"/>
        <v>PortuguêsRepública Dominicana</v>
      </c>
      <c r="AS101" s="45" t="str">
        <f t="shared" si="47"/>
        <v>República Dominicana</v>
      </c>
      <c r="AT101" s="41"/>
      <c r="AU101" s="41"/>
      <c r="BW101" s="44"/>
      <c r="BY101" s="45"/>
      <c r="BZ101" s="54">
        <v>2</v>
      </c>
      <c r="CA101" s="44" t="str">
        <f>BL6&amp;"org"&amp;CB6</f>
        <v>org</v>
      </c>
      <c r="CB101" s="41">
        <f t="shared" si="45"/>
        <v>1.95</v>
      </c>
      <c r="CC101" s="41">
        <f t="shared" si="45"/>
        <v>9.6999999999999993</v>
      </c>
      <c r="CD101" s="155">
        <f>(CA6+CC101)*0</f>
        <v>0</v>
      </c>
    </row>
    <row r="102" spans="43:82" x14ac:dyDescent="0.3">
      <c r="AQ102" s="41">
        <v>8</v>
      </c>
      <c r="AR102" s="44" t="str">
        <f t="shared" si="51"/>
        <v>PortuguêsNicaragua</v>
      </c>
      <c r="AS102" s="45" t="str">
        <f t="shared" si="47"/>
        <v>Nicarágua</v>
      </c>
      <c r="AT102" s="41"/>
      <c r="AU102" s="41"/>
      <c r="BW102" s="44"/>
      <c r="BY102" s="45"/>
      <c r="BZ102" s="54">
        <v>3</v>
      </c>
      <c r="CA102" s="44" t="str">
        <f>BL7&amp;"org"&amp;CB7</f>
        <v>org</v>
      </c>
      <c r="CB102" s="41">
        <f t="shared" si="45"/>
        <v>1.74</v>
      </c>
      <c r="CC102" s="146">
        <f t="shared" si="45"/>
        <v>10.25</v>
      </c>
      <c r="CD102" s="155">
        <f>(CA7+CC102)*0</f>
        <v>0</v>
      </c>
    </row>
    <row r="103" spans="43:82" x14ac:dyDescent="0.3">
      <c r="AQ103" s="41">
        <v>9</v>
      </c>
      <c r="AR103" s="44" t="str">
        <f t="shared" si="51"/>
        <v>PortuguêsCamerún</v>
      </c>
      <c r="AS103" s="45" t="str">
        <f t="shared" si="47"/>
        <v>Camarões</v>
      </c>
      <c r="AT103" s="41"/>
      <c r="AU103" s="41"/>
      <c r="BW103" s="44"/>
      <c r="BY103" s="45"/>
      <c r="BZ103" s="54">
        <v>4</v>
      </c>
      <c r="CA103" s="44" t="str">
        <f>BL8&amp;"org"&amp;CB8</f>
        <v>orgGuayaquil (llegando a puerto desde Machala)</v>
      </c>
      <c r="CB103" s="41">
        <f t="shared" si="45"/>
        <v>1.85</v>
      </c>
      <c r="CC103" s="41">
        <f t="shared" si="45"/>
        <v>9.75</v>
      </c>
      <c r="CD103" s="148">
        <f>CA8+CC103</f>
        <v>14.02</v>
      </c>
    </row>
    <row r="104" spans="43:82" x14ac:dyDescent="0.3">
      <c r="AQ104" s="41">
        <v>1</v>
      </c>
      <c r="AR104" s="104" t="str">
        <f t="shared" ref="AR104:AR112" si="52">BA50&amp;AZ23</f>
        <v>EspañolPanama</v>
      </c>
      <c r="AS104" s="45" t="str">
        <f t="shared" ref="AS104:AS112" si="53">AZ50</f>
        <v>Panamá</v>
      </c>
      <c r="AT104" s="106" t="s">
        <v>108</v>
      </c>
      <c r="AU104" s="41" t="s">
        <v>107</v>
      </c>
      <c r="BW104" s="44"/>
      <c r="BY104" s="45"/>
      <c r="BZ104" s="54">
        <v>5</v>
      </c>
      <c r="CA104" s="149" t="str">
        <f>BL8&amp;"org"&amp;CB9</f>
        <v>orgGuayaquil/Posorja (llegando a puerto desde Santa Elena)</v>
      </c>
      <c r="CB104" s="150">
        <f>CB95*0+CB94</f>
        <v>1.85</v>
      </c>
      <c r="CC104" s="150">
        <f>CC95*0+CC94</f>
        <v>9.75</v>
      </c>
      <c r="CD104" s="160">
        <f>CA9+CC104</f>
        <v>13.780000000000001</v>
      </c>
    </row>
    <row r="105" spans="43:82" x14ac:dyDescent="0.3">
      <c r="AQ105" s="41">
        <v>2</v>
      </c>
      <c r="AR105" s="44" t="str">
        <f t="shared" si="52"/>
        <v>EspañolPeru</v>
      </c>
      <c r="AS105" s="45" t="str">
        <f t="shared" si="53"/>
        <v>Perú</v>
      </c>
      <c r="AT105" s="41"/>
      <c r="AU105" s="41"/>
      <c r="BW105" s="44"/>
      <c r="BY105" s="45"/>
      <c r="BZ105" s="54">
        <v>6</v>
      </c>
      <c r="CA105" s="44" t="str">
        <f>BL10&amp;"org"&amp;CB10</f>
        <v>org</v>
      </c>
      <c r="CB105" s="41">
        <f t="shared" si="45"/>
        <v>1.74</v>
      </c>
      <c r="CC105" s="41">
        <f t="shared" si="45"/>
        <v>10.1</v>
      </c>
      <c r="CD105" s="155">
        <f>(CA10+CC105)*0</f>
        <v>0</v>
      </c>
    </row>
    <row r="106" spans="43:82" x14ac:dyDescent="0.3">
      <c r="AQ106" s="41">
        <v>3</v>
      </c>
      <c r="AR106" s="44" t="str">
        <f t="shared" si="52"/>
        <v>EspañolColombia</v>
      </c>
      <c r="AS106" s="45" t="str">
        <f t="shared" si="53"/>
        <v>Colombia</v>
      </c>
      <c r="AT106" s="41"/>
      <c r="AU106" s="41"/>
      <c r="BW106" s="44"/>
      <c r="BY106" s="45"/>
      <c r="BZ106" s="54">
        <v>7</v>
      </c>
      <c r="CA106" s="44" t="str">
        <f>BL11&amp;"org"&amp;CB11</f>
        <v>orgCaucedo</v>
      </c>
      <c r="CB106" s="41">
        <f t="shared" si="45"/>
        <v>2.38</v>
      </c>
      <c r="CC106" s="41">
        <f t="shared" si="45"/>
        <v>10.3</v>
      </c>
      <c r="CD106" s="45">
        <f>CA11+CC106</f>
        <v>14.870000000000001</v>
      </c>
    </row>
    <row r="107" spans="43:82" x14ac:dyDescent="0.3">
      <c r="AQ107" s="41">
        <v>4</v>
      </c>
      <c r="AR107" s="44" t="str">
        <f t="shared" si="52"/>
        <v>EspañolEcuador</v>
      </c>
      <c r="AS107" s="45" t="str">
        <f t="shared" si="53"/>
        <v>Ecuador</v>
      </c>
      <c r="AT107" s="41"/>
      <c r="AU107" s="41"/>
      <c r="BW107" s="44"/>
      <c r="BY107" s="45"/>
      <c r="BZ107" s="54">
        <v>8</v>
      </c>
      <c r="CA107" s="44" t="str">
        <f>BL12&amp;"org"&amp;CB12</f>
        <v>orgMoin (CR)/Cortez (HN)</v>
      </c>
      <c r="CB107" s="41">
        <f>CB98</f>
        <v>1.9</v>
      </c>
      <c r="CC107" s="146">
        <f>CC98</f>
        <v>0</v>
      </c>
      <c r="CD107" s="155">
        <f>CA12+CC107</f>
        <v>0</v>
      </c>
    </row>
    <row r="108" spans="43:82" x14ac:dyDescent="0.3">
      <c r="AQ108" s="41">
        <v>5</v>
      </c>
      <c r="AR108" s="44" t="str">
        <f t="shared" si="52"/>
        <v>EspañolSaint Lucia</v>
      </c>
      <c r="AS108" s="45" t="str">
        <f t="shared" si="53"/>
        <v>Santa Lucía</v>
      </c>
      <c r="AT108" s="41"/>
      <c r="AU108" s="41"/>
      <c r="BW108" s="46"/>
      <c r="BX108" s="139"/>
      <c r="BY108" s="47"/>
      <c r="BZ108" s="55">
        <v>9</v>
      </c>
      <c r="CA108" s="46" t="str">
        <f>BL13&amp;"org"&amp;CB13</f>
        <v>orgPark Kribi</v>
      </c>
      <c r="CB108" s="139">
        <f t="shared" si="45"/>
        <v>1.71</v>
      </c>
      <c r="CC108" s="156">
        <f t="shared" ref="CC108" si="54">CC99</f>
        <v>0</v>
      </c>
      <c r="CD108" s="157">
        <f>CA13+CC108</f>
        <v>0</v>
      </c>
    </row>
    <row r="109" spans="43:82" x14ac:dyDescent="0.3">
      <c r="AQ109" s="41">
        <v>6</v>
      </c>
      <c r="AR109" s="44" t="str">
        <f t="shared" si="52"/>
        <v>EspañolGhana</v>
      </c>
      <c r="AS109" s="45" t="str">
        <f t="shared" si="53"/>
        <v>Gana</v>
      </c>
      <c r="AT109" s="41"/>
      <c r="AU109" s="41"/>
    </row>
    <row r="110" spans="43:82" x14ac:dyDescent="0.3">
      <c r="AQ110" s="41">
        <v>7</v>
      </c>
      <c r="AR110" s="44" t="str">
        <f t="shared" si="52"/>
        <v>EspañolDominican Republic</v>
      </c>
      <c r="AS110" s="45" t="str">
        <f t="shared" si="53"/>
        <v>República Dominicana</v>
      </c>
      <c r="AT110" s="41"/>
      <c r="AU110" s="41"/>
    </row>
    <row r="111" spans="43:82" x14ac:dyDescent="0.3">
      <c r="AQ111" s="41">
        <v>8</v>
      </c>
      <c r="AR111" s="44" t="str">
        <f t="shared" si="52"/>
        <v>EspañolNicaragua</v>
      </c>
      <c r="AS111" s="45" t="str">
        <f t="shared" si="53"/>
        <v>Nicaragua</v>
      </c>
      <c r="AT111" s="41"/>
      <c r="AU111" s="41"/>
    </row>
    <row r="112" spans="43:82" x14ac:dyDescent="0.3">
      <c r="AQ112" s="41">
        <v>9</v>
      </c>
      <c r="AR112" s="44" t="str">
        <f t="shared" si="52"/>
        <v>EspañolCameroon</v>
      </c>
      <c r="AS112" s="45" t="str">
        <f t="shared" si="53"/>
        <v>Camerún</v>
      </c>
      <c r="AT112" s="41"/>
      <c r="AU112" s="41"/>
    </row>
    <row r="113" spans="43:82" x14ac:dyDescent="0.3">
      <c r="AQ113" s="41">
        <v>1</v>
      </c>
      <c r="AR113" s="104" t="str">
        <f t="shared" ref="AR113:AR121" si="55">BA50&amp;AZ32</f>
        <v>EspañolPanama</v>
      </c>
      <c r="AS113" s="45" t="str">
        <f t="shared" ref="AS113:AS130" si="56">AS104</f>
        <v>Panamá</v>
      </c>
      <c r="AT113" s="106" t="s">
        <v>109</v>
      </c>
      <c r="AU113" s="41" t="s">
        <v>107</v>
      </c>
    </row>
    <row r="114" spans="43:82" x14ac:dyDescent="0.3">
      <c r="AQ114" s="41">
        <v>2</v>
      </c>
      <c r="AR114" s="44" t="str">
        <f t="shared" si="55"/>
        <v>EspañolPérou</v>
      </c>
      <c r="AS114" s="45" t="str">
        <f t="shared" si="56"/>
        <v>Perú</v>
      </c>
      <c r="AT114" s="41"/>
      <c r="AU114" s="41"/>
      <c r="CA114" s="109" t="str">
        <f>C8&amp;BJ21&amp;C10</f>
        <v>org</v>
      </c>
      <c r="CB114" s="109">
        <f>IF(ISERROR(VLOOKUP(CA114,$CA$73:$CD$108,2,FALSE)),"",VLOOKUP(CA114,$CA$73:$CD$108,2,FALSE))</f>
        <v>1.95</v>
      </c>
      <c r="CC114" s="109">
        <f>IF(VLOOKUP(CA114,$CA$73:$CD$108,3,FALSE)=0,"",
IF(ISERROR(VLOOKUP(CA114,$CA$73:$CD$108,3,FALSE)),"",
VLOOKUP(CA114,$CA$73:$CD$108,3,FALSE)))</f>
        <v>9.6999999999999993</v>
      </c>
      <c r="CD114" s="109" t="str">
        <f>IF(VLOOKUP(CA114,$CA$73:$CD$108,4,FALSE)=0,"",
IF(ISERROR(VLOOKUP(CA114,$CA$73:$CD$108,4,FALSE)),"",
VLOOKUP(CA114,$CA$73:$CD$108,4,FALSE)))</f>
        <v/>
      </c>
    </row>
    <row r="115" spans="43:82" x14ac:dyDescent="0.3">
      <c r="AQ115" s="41">
        <v>3</v>
      </c>
      <c r="AR115" s="44" t="str">
        <f t="shared" si="55"/>
        <v>EspañolColombie</v>
      </c>
      <c r="AS115" s="45" t="str">
        <f t="shared" si="56"/>
        <v>Colombia</v>
      </c>
      <c r="AT115" s="41"/>
      <c r="AU115" s="41"/>
    </row>
    <row r="116" spans="43:82" x14ac:dyDescent="0.3">
      <c r="AQ116" s="41">
        <v>4</v>
      </c>
      <c r="AR116" s="44" t="str">
        <f t="shared" si="55"/>
        <v>EspañolÉquateur</v>
      </c>
      <c r="AS116" s="45" t="str">
        <f t="shared" si="56"/>
        <v>Ecuador</v>
      </c>
      <c r="AT116" s="41"/>
      <c r="AU116" s="41"/>
    </row>
    <row r="117" spans="43:82" x14ac:dyDescent="0.3">
      <c r="AQ117" s="41">
        <v>5</v>
      </c>
      <c r="AR117" s="44" t="str">
        <f t="shared" si="55"/>
        <v>EspañolSainte-Lucie</v>
      </c>
      <c r="AS117" s="45" t="str">
        <f t="shared" si="56"/>
        <v>Santa Lucía</v>
      </c>
      <c r="AT117" s="41"/>
      <c r="AU117" s="41"/>
    </row>
    <row r="118" spans="43:82" x14ac:dyDescent="0.3">
      <c r="AQ118" s="41">
        <v>6</v>
      </c>
      <c r="AR118" s="44" t="str">
        <f t="shared" si="55"/>
        <v>EspañolGhana</v>
      </c>
      <c r="AS118" s="45" t="str">
        <f t="shared" si="56"/>
        <v>Gana</v>
      </c>
      <c r="AT118" s="41"/>
      <c r="AU118" s="41"/>
    </row>
    <row r="119" spans="43:82" x14ac:dyDescent="0.3">
      <c r="AQ119" s="41">
        <v>7</v>
      </c>
      <c r="AR119" s="44" t="str">
        <f t="shared" si="55"/>
        <v>EspañolRépublique dominicaine</v>
      </c>
      <c r="AS119" s="45" t="str">
        <f t="shared" si="56"/>
        <v>República Dominicana</v>
      </c>
      <c r="AT119" s="41"/>
      <c r="AU119" s="41"/>
    </row>
    <row r="120" spans="43:82" x14ac:dyDescent="0.3">
      <c r="AQ120" s="41">
        <v>8</v>
      </c>
      <c r="AR120" s="44" t="str">
        <f t="shared" si="55"/>
        <v>EspañolNicaragua</v>
      </c>
      <c r="AS120" s="45" t="str">
        <f t="shared" si="56"/>
        <v>Nicaragua</v>
      </c>
      <c r="AT120" s="41"/>
      <c r="AU120" s="41"/>
    </row>
    <row r="121" spans="43:82" x14ac:dyDescent="0.3">
      <c r="AQ121" s="41">
        <v>9</v>
      </c>
      <c r="AR121" s="44" t="str">
        <f t="shared" si="55"/>
        <v>EspañolCameroun</v>
      </c>
      <c r="AS121" s="45" t="str">
        <f t="shared" si="56"/>
        <v>Camerún</v>
      </c>
      <c r="AT121" s="41"/>
      <c r="AU121" s="41"/>
    </row>
    <row r="122" spans="43:82" x14ac:dyDescent="0.3">
      <c r="AQ122" s="41">
        <v>1</v>
      </c>
      <c r="AR122" s="104" t="str">
        <f>BA50&amp;AZ41</f>
        <v>EspañolPanamá</v>
      </c>
      <c r="AS122" s="45" t="str">
        <f t="shared" si="56"/>
        <v>Panamá</v>
      </c>
      <c r="AT122" s="106" t="s">
        <v>110</v>
      </c>
      <c r="AU122" s="41" t="s">
        <v>107</v>
      </c>
    </row>
    <row r="123" spans="43:82" x14ac:dyDescent="0.3">
      <c r="AQ123" s="41">
        <v>2</v>
      </c>
      <c r="AR123" s="44" t="str">
        <f>BA51&amp;AZ42</f>
        <v>EspañolPeru</v>
      </c>
      <c r="AS123" s="45" t="str">
        <f t="shared" si="56"/>
        <v>Perú</v>
      </c>
      <c r="AT123" s="41"/>
      <c r="AU123" s="41"/>
    </row>
    <row r="124" spans="43:82" x14ac:dyDescent="0.3">
      <c r="AQ124" s="41">
        <v>3</v>
      </c>
      <c r="AR124" s="44" t="str">
        <f>BA52&amp;AZ43</f>
        <v>EspañolColômbia</v>
      </c>
      <c r="AS124" s="45" t="str">
        <f t="shared" si="56"/>
        <v>Colombia</v>
      </c>
    </row>
    <row r="125" spans="43:82" x14ac:dyDescent="0.3">
      <c r="AQ125" s="41">
        <v>4</v>
      </c>
      <c r="AR125" s="44" t="str">
        <f>BA53&amp;AZ44</f>
        <v>EspañolEquador</v>
      </c>
      <c r="AS125" s="45" t="str">
        <f t="shared" si="56"/>
        <v>Ecuador</v>
      </c>
    </row>
    <row r="126" spans="43:82" x14ac:dyDescent="0.3">
      <c r="AQ126" s="41">
        <v>5</v>
      </c>
      <c r="AR126" s="44" t="str">
        <f t="shared" ref="AR126:AR130" si="57">BA54&amp;AZ45</f>
        <v>EspañolSanta Lúcia</v>
      </c>
      <c r="AS126" s="45" t="str">
        <f t="shared" si="56"/>
        <v>Santa Lucía</v>
      </c>
    </row>
    <row r="127" spans="43:82" x14ac:dyDescent="0.3">
      <c r="AQ127" s="41">
        <v>6</v>
      </c>
      <c r="AR127" s="44" t="str">
        <f t="shared" si="57"/>
        <v>EspañolGana</v>
      </c>
      <c r="AS127" s="45" t="str">
        <f t="shared" si="56"/>
        <v>Gana</v>
      </c>
    </row>
    <row r="128" spans="43:82" x14ac:dyDescent="0.3">
      <c r="AQ128" s="41">
        <v>7</v>
      </c>
      <c r="AR128" s="44" t="str">
        <f t="shared" si="57"/>
        <v>EspañolRepública Dominicana</v>
      </c>
      <c r="AS128" s="45" t="str">
        <f t="shared" si="56"/>
        <v>República Dominicana</v>
      </c>
    </row>
    <row r="129" spans="43:45" x14ac:dyDescent="0.3">
      <c r="AQ129" s="41">
        <v>8</v>
      </c>
      <c r="AR129" s="46" t="str">
        <f t="shared" si="57"/>
        <v>EspañolNicarágua</v>
      </c>
      <c r="AS129" s="47" t="str">
        <f t="shared" si="56"/>
        <v>Nicaragua</v>
      </c>
    </row>
    <row r="130" spans="43:45" x14ac:dyDescent="0.3">
      <c r="AQ130" s="41">
        <v>9</v>
      </c>
      <c r="AR130" s="46" t="str">
        <f t="shared" si="57"/>
        <v>EspañolCamarões</v>
      </c>
      <c r="AS130" s="47" t="str">
        <f t="shared" si="56"/>
        <v>Camerún</v>
      </c>
    </row>
  </sheetData>
  <sheetProtection algorithmName="SHA-512" hashValue="BQa2vV9an5IaPfafW5G+syNnUS4bzh9ZjsoJjI10HruZNVKWVBWVvm+rw1p9rmlAuP2zAkqYB9Pgl2/Hrn/cLg==" saltValue="sDErIaHxrdtIScb6p+U/pQ==" spinCount="100000" sheet="1" objects="1" scenarios="1" formatCells="0" formatColumns="0" formatRows="0" sort="0" autoFilter="0"/>
  <mergeCells count="12">
    <mergeCell ref="BN2:BQ2"/>
    <mergeCell ref="BZ2:CB2"/>
    <mergeCell ref="C10:D10"/>
    <mergeCell ref="C9:D9"/>
    <mergeCell ref="C8:D8"/>
    <mergeCell ref="B32:B33"/>
    <mergeCell ref="B4:D4"/>
    <mergeCell ref="B28:B29"/>
    <mergeCell ref="B30:B31"/>
    <mergeCell ref="B12:D12"/>
    <mergeCell ref="B6:D6"/>
    <mergeCell ref="B14:D14"/>
  </mergeCells>
  <conditionalFormatting sqref="B12:D12">
    <cfRule type="expression" dxfId="1" priority="2">
      <formula>$AO$12</formula>
    </cfRule>
  </conditionalFormatting>
  <conditionalFormatting sqref="C10:D10">
    <cfRule type="expression" dxfId="0" priority="4">
      <formula>$AO$13</formula>
    </cfRule>
  </conditionalFormatting>
  <dataValidations count="4">
    <dataValidation type="list" allowBlank="1" showInputMessage="1" showErrorMessage="1" sqref="C9" xr:uid="{00000000-0002-0000-0000-000000000000}">
      <formula1>$BR$5:$BR$6</formula1>
    </dataValidation>
    <dataValidation type="list" allowBlank="1" showInputMessage="1" showErrorMessage="1" sqref="D2" xr:uid="{00000000-0002-0000-0000-000001000000}">
      <formula1>$CJ$4:$CJ$7</formula1>
    </dataValidation>
    <dataValidation type="list" allowBlank="1" showInputMessage="1" showErrorMessage="1" sqref="C8:D8" xr:uid="{00000000-0002-0000-0000-000002000000}">
      <formula1>$BL$5:$BL$13</formula1>
    </dataValidation>
    <dataValidation type="list" allowBlank="1" showInputMessage="1" showErrorMessage="1" sqref="C10:D10" xr:uid="{00000000-0002-0000-0000-000003000000}">
      <formula1>$CL$4:$CL$6</formula1>
    </dataValidation>
  </dataValidation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15ED85-8D01-4EE6-9A28-F7CDE97C8104}">
  <dimension ref="A1"/>
  <sheetViews>
    <sheetView workbookViewId="0"/>
  </sheetViews>
  <sheetFormatPr defaultRowHeight="14.4" x14ac:dyDescent="0.3"/>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2</vt:i4>
      </vt:variant>
    </vt:vector>
  </HeadingPairs>
  <TitlesOfParts>
    <vt:vector size="2" baseType="lpstr">
      <vt:lpstr>prorata</vt: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Jose Paredes</cp:lastModifiedBy>
  <cp:lastPrinted>2018-10-31T15:05:48Z</cp:lastPrinted>
  <dcterms:created xsi:type="dcterms:W3CDTF">2018-07-16T02:52:01Z</dcterms:created>
  <dcterms:modified xsi:type="dcterms:W3CDTF">2023-09-29T06:53:54Z</dcterms:modified>
</cp:coreProperties>
</file>